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c3cf9a24b186dc3/Documents/totadvi/Templates/"/>
    </mc:Choice>
  </mc:AlternateContent>
  <xr:revisionPtr revIDLastSave="1492" documentId="13_ncr:1_{773C0673-F72F-45F6-9AF3-BBDEB27D56D1}" xr6:coauthVersionLast="47" xr6:coauthVersionMax="47" xr10:uidLastSave="{C30D5553-2E40-4670-A2A6-3C16CDA75529}"/>
  <bookViews>
    <workbookView xWindow="-108" yWindow="-108" windowWidth="23256" windowHeight="13896" xr2:uid="{5CA74516-1975-42A0-A20A-A0487CD7EFD2}"/>
  </bookViews>
  <sheets>
    <sheet name="Cashflow Dashboard" sheetId="10" r:id="rId1"/>
    <sheet name="12-Month Cash Flow Statement" sheetId="6" r:id="rId2"/>
  </sheets>
  <externalReferences>
    <externalReference r:id="rId3"/>
  </externalReferences>
  <definedNames>
    <definedName name="_xlnm.Print_Area" localSheetId="1">'12-Month Cash Flow Statement'!$B$7:$AB$36</definedName>
    <definedName name="Type">'[1]Risk Assessment &amp; Control'!#REF!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6" l="1"/>
  <c r="AC7" i="6" l="1"/>
  <c r="AB34" i="6"/>
  <c r="I9" i="6" l="1"/>
  <c r="K8" i="6"/>
  <c r="AC43" i="6"/>
  <c r="AC39" i="6"/>
  <c r="L8" i="6" l="1"/>
  <c r="M8" i="6" s="1"/>
  <c r="N8" i="6" s="1"/>
  <c r="O8" i="6" s="1"/>
  <c r="P8" i="6" s="1"/>
  <c r="Q8" i="6" s="1"/>
  <c r="R8" i="6" s="1"/>
  <c r="S8" i="6" s="1"/>
  <c r="AD43" i="6"/>
  <c r="AD39" i="6"/>
  <c r="O15" i="6" l="1"/>
  <c r="T8" i="6"/>
  <c r="U8" i="6" s="1"/>
  <c r="V8" i="6" s="1"/>
  <c r="W8" i="6" s="1"/>
  <c r="X8" i="6" s="1"/>
  <c r="Y8" i="6" s="1"/>
  <c r="Z8" i="6" s="1"/>
  <c r="AE43" i="6"/>
  <c r="AE39" i="6"/>
  <c r="I2" i="10" l="1"/>
  <c r="AF43" i="6"/>
  <c r="AF39" i="6"/>
  <c r="J20" i="6"/>
  <c r="K20" i="6"/>
  <c r="L20" i="6"/>
  <c r="M20" i="6"/>
  <c r="N20" i="6"/>
  <c r="I31" i="6"/>
  <c r="J31" i="6"/>
  <c r="K31" i="6"/>
  <c r="L31" i="6"/>
  <c r="M31" i="6"/>
  <c r="N31" i="6"/>
  <c r="K35" i="6" l="1"/>
  <c r="M35" i="6"/>
  <c r="J35" i="6"/>
  <c r="N35" i="6"/>
  <c r="L35" i="6"/>
  <c r="J9" i="6" l="1"/>
  <c r="K9" i="6"/>
  <c r="L9" i="6" l="1"/>
  <c r="M9" i="6" l="1"/>
  <c r="N9" i="6" l="1"/>
  <c r="O12" i="6" l="1"/>
  <c r="O24" i="6"/>
  <c r="O26" i="6"/>
  <c r="O30" i="6"/>
  <c r="O25" i="6"/>
  <c r="O27" i="6"/>
  <c r="O28" i="6"/>
  <c r="O23" i="6"/>
  <c r="O29" i="6"/>
  <c r="O13" i="6"/>
  <c r="O16" i="6"/>
  <c r="O17" i="6"/>
  <c r="O18" i="6"/>
  <c r="O19" i="6"/>
  <c r="O14" i="6"/>
  <c r="O9" i="6"/>
  <c r="O31" i="6" l="1"/>
  <c r="P23" i="6"/>
  <c r="P14" i="6"/>
  <c r="P30" i="6"/>
  <c r="P29" i="6"/>
  <c r="P28" i="6"/>
  <c r="P26" i="6"/>
  <c r="P24" i="6"/>
  <c r="P12" i="6"/>
  <c r="P15" i="6"/>
  <c r="P16" i="6"/>
  <c r="P18" i="6"/>
  <c r="P13" i="6"/>
  <c r="Q13" i="6" s="1"/>
  <c r="P27" i="6"/>
  <c r="P25" i="6"/>
  <c r="O20" i="6"/>
  <c r="P19" i="6"/>
  <c r="P17" i="6"/>
  <c r="P9" i="6"/>
  <c r="O35" i="6" l="1"/>
  <c r="Q23" i="6"/>
  <c r="P31" i="6"/>
  <c r="Q24" i="6"/>
  <c r="Q15" i="6"/>
  <c r="Q18" i="6"/>
  <c r="Q27" i="6"/>
  <c r="Q19" i="6"/>
  <c r="Q17" i="6"/>
  <c r="Q12" i="6"/>
  <c r="Q25" i="6"/>
  <c r="Q29" i="6"/>
  <c r="Q26" i="6"/>
  <c r="Q30" i="6"/>
  <c r="Q28" i="6"/>
  <c r="Q16" i="6"/>
  <c r="Q14" i="6"/>
  <c r="P20" i="6"/>
  <c r="Q9" i="6"/>
  <c r="R13" i="6" l="1"/>
  <c r="P35" i="6"/>
  <c r="R15" i="6"/>
  <c r="R12" i="6"/>
  <c r="R19" i="6"/>
  <c r="Q31" i="6"/>
  <c r="R17" i="6"/>
  <c r="S17" i="6" s="1"/>
  <c r="Q20" i="6"/>
  <c r="Q35" i="6" s="1"/>
  <c r="R18" i="6"/>
  <c r="S18" i="6" s="1"/>
  <c r="R16" i="6"/>
  <c r="R27" i="6"/>
  <c r="R14" i="6"/>
  <c r="R28" i="6"/>
  <c r="R23" i="6"/>
  <c r="R26" i="6"/>
  <c r="R30" i="6"/>
  <c r="R29" i="6"/>
  <c r="R25" i="6"/>
  <c r="R24" i="6"/>
  <c r="R9" i="6"/>
  <c r="S13" i="6" l="1"/>
  <c r="S12" i="6"/>
  <c r="S14" i="6"/>
  <c r="S16" i="6"/>
  <c r="R20" i="6"/>
  <c r="R31" i="6"/>
  <c r="S30" i="6"/>
  <c r="S28" i="6"/>
  <c r="T28" i="6" s="1"/>
  <c r="S23" i="6"/>
  <c r="S19" i="6"/>
  <c r="S26" i="6"/>
  <c r="S27" i="6"/>
  <c r="S29" i="6"/>
  <c r="S24" i="6"/>
  <c r="S25" i="6"/>
  <c r="S15" i="6"/>
  <c r="S9" i="6"/>
  <c r="T13" i="6" l="1"/>
  <c r="T16" i="6"/>
  <c r="T30" i="6"/>
  <c r="S20" i="6"/>
  <c r="T18" i="6"/>
  <c r="T14" i="6"/>
  <c r="T24" i="6"/>
  <c r="U24" i="6" s="1"/>
  <c r="T27" i="6"/>
  <c r="U27" i="6" s="1"/>
  <c r="T25" i="6"/>
  <c r="T17" i="6"/>
  <c r="T29" i="6"/>
  <c r="T26" i="6"/>
  <c r="R35" i="6"/>
  <c r="T19" i="6"/>
  <c r="S31" i="6"/>
  <c r="T15" i="6"/>
  <c r="T23" i="6"/>
  <c r="T12" i="6"/>
  <c r="T9" i="6"/>
  <c r="U25" i="6" l="1"/>
  <c r="S35" i="6"/>
  <c r="U13" i="6"/>
  <c r="U12" i="6"/>
  <c r="U18" i="6"/>
  <c r="V18" i="6" s="1"/>
  <c r="U15" i="6"/>
  <c r="U16" i="6"/>
  <c r="U19" i="6"/>
  <c r="U9" i="6"/>
  <c r="U14" i="6"/>
  <c r="U17" i="6"/>
  <c r="U28" i="6"/>
  <c r="U30" i="6"/>
  <c r="U26" i="6"/>
  <c r="U29" i="6"/>
  <c r="U23" i="6"/>
  <c r="T20" i="6"/>
  <c r="T31" i="6"/>
  <c r="AB31" i="6" s="1"/>
  <c r="V26" i="6" l="1"/>
  <c r="V25" i="6"/>
  <c r="V15" i="6"/>
  <c r="V24" i="6"/>
  <c r="V30" i="6"/>
  <c r="V28" i="6"/>
  <c r="V12" i="6"/>
  <c r="V27" i="6"/>
  <c r="V23" i="6"/>
  <c r="U20" i="6"/>
  <c r="V17" i="6"/>
  <c r="V13" i="6"/>
  <c r="V19" i="6"/>
  <c r="V14" i="6"/>
  <c r="V16" i="6"/>
  <c r="V9" i="6"/>
  <c r="U31" i="6"/>
  <c r="V29" i="6"/>
  <c r="T35" i="6"/>
  <c r="V31" i="6" l="1"/>
  <c r="W19" i="6"/>
  <c r="W15" i="6"/>
  <c r="U35" i="6"/>
  <c r="V20" i="6"/>
  <c r="W25" i="6"/>
  <c r="W26" i="6"/>
  <c r="W13" i="6"/>
  <c r="W14" i="6"/>
  <c r="W16" i="6"/>
  <c r="W18" i="6"/>
  <c r="W12" i="6"/>
  <c r="W9" i="6"/>
  <c r="W30" i="6"/>
  <c r="W28" i="6"/>
  <c r="W29" i="6"/>
  <c r="W27" i="6"/>
  <c r="W17" i="6"/>
  <c r="W24" i="6"/>
  <c r="W23" i="6"/>
  <c r="V35" i="6" l="1"/>
  <c r="X29" i="6"/>
  <c r="X28" i="6"/>
  <c r="X18" i="6"/>
  <c r="X27" i="6"/>
  <c r="W31" i="6"/>
  <c r="X14" i="6"/>
  <c r="X13" i="6"/>
  <c r="X16" i="6"/>
  <c r="X19" i="6"/>
  <c r="X17" i="6"/>
  <c r="X12" i="6"/>
  <c r="X15" i="6"/>
  <c r="X9" i="6"/>
  <c r="X25" i="6"/>
  <c r="X24" i="6"/>
  <c r="X23" i="6"/>
  <c r="W20" i="6"/>
  <c r="X26" i="6"/>
  <c r="X30" i="6"/>
  <c r="Y12" i="6" l="1"/>
  <c r="W35" i="6"/>
  <c r="Y27" i="6"/>
  <c r="Y15" i="6"/>
  <c r="X31" i="6"/>
  <c r="Y18" i="6"/>
  <c r="Y28" i="6"/>
  <c r="Y13" i="6"/>
  <c r="Y9" i="6"/>
  <c r="Y14" i="6"/>
  <c r="Y16" i="6"/>
  <c r="Y25" i="6"/>
  <c r="Y24" i="6"/>
  <c r="Z24" i="6" s="1"/>
  <c r="AB24" i="6" s="1"/>
  <c r="Y23" i="6"/>
  <c r="Y19" i="6"/>
  <c r="Y17" i="6"/>
  <c r="Y26" i="6"/>
  <c r="X20" i="6"/>
  <c r="Y30" i="6"/>
  <c r="Y29" i="6"/>
  <c r="X35" i="6" l="1"/>
  <c r="Z27" i="6"/>
  <c r="AB27" i="6" s="1"/>
  <c r="AC18" i="6"/>
  <c r="AD18" i="6" s="1"/>
  <c r="AC40" i="6"/>
  <c r="AF44" i="6"/>
  <c r="AF40" i="6"/>
  <c r="AC28" i="6"/>
  <c r="AD28" i="6" s="1"/>
  <c r="AC26" i="6"/>
  <c r="AD26" i="6" s="1"/>
  <c r="AC27" i="6"/>
  <c r="AD27" i="6" s="1"/>
  <c r="AC30" i="6"/>
  <c r="AD30" i="6" s="1"/>
  <c r="AC23" i="6"/>
  <c r="AD23" i="6" s="1"/>
  <c r="AC13" i="6"/>
  <c r="AD13" i="6" s="1"/>
  <c r="AD44" i="6"/>
  <c r="AC17" i="6"/>
  <c r="AD17" i="6" s="1"/>
  <c r="AC15" i="6"/>
  <c r="AD15" i="6" s="1"/>
  <c r="AE44" i="6"/>
  <c r="AC25" i="6"/>
  <c r="AD25" i="6" s="1"/>
  <c r="AC16" i="6"/>
  <c r="AD16" i="6" s="1"/>
  <c r="AC12" i="6"/>
  <c r="AD12" i="6" s="1"/>
  <c r="AE40" i="6"/>
  <c r="AC24" i="6"/>
  <c r="AD24" i="6" s="1"/>
  <c r="AC14" i="6"/>
  <c r="AD14" i="6" s="1"/>
  <c r="AC31" i="6"/>
  <c r="AD40" i="6"/>
  <c r="AC29" i="6"/>
  <c r="AD29" i="6" s="1"/>
  <c r="AC35" i="6"/>
  <c r="AC34" i="6"/>
  <c r="AC20" i="6"/>
  <c r="AC44" i="6"/>
  <c r="AC32" i="6"/>
  <c r="AC19" i="6"/>
  <c r="AD19" i="6" s="1"/>
  <c r="AC36" i="6"/>
  <c r="Z15" i="6"/>
  <c r="AB15" i="6" s="1"/>
  <c r="Z28" i="6"/>
  <c r="AB28" i="6" s="1"/>
  <c r="Z26" i="6"/>
  <c r="AB26" i="6" s="1"/>
  <c r="Z23" i="6"/>
  <c r="AB23" i="6" s="1"/>
  <c r="Y31" i="6"/>
  <c r="Z30" i="6"/>
  <c r="AB30" i="6" s="1"/>
  <c r="Z9" i="6"/>
  <c r="Z29" i="6"/>
  <c r="AB29" i="6" s="1"/>
  <c r="Z13" i="6"/>
  <c r="AB13" i="6" s="1"/>
  <c r="Z16" i="6"/>
  <c r="AB16" i="6" s="1"/>
  <c r="Z14" i="6"/>
  <c r="AB14" i="6" s="1"/>
  <c r="Z17" i="6"/>
  <c r="AB17" i="6" s="1"/>
  <c r="Z19" i="6"/>
  <c r="AB19" i="6" s="1"/>
  <c r="Z18" i="6"/>
  <c r="AB18" i="6" s="1"/>
  <c r="Z12" i="6"/>
  <c r="AB12" i="6" s="1"/>
  <c r="Z25" i="6"/>
  <c r="Y20" i="6"/>
  <c r="C30" i="10" l="1"/>
  <c r="C29" i="10"/>
  <c r="C32" i="10"/>
  <c r="C34" i="10"/>
  <c r="C28" i="10"/>
  <c r="B20" i="10" a="1"/>
  <c r="C31" i="10"/>
  <c r="C33" i="10"/>
  <c r="B4" i="10" a="1"/>
  <c r="C12" i="10"/>
  <c r="Z31" i="6"/>
  <c r="AB25" i="6"/>
  <c r="Z20" i="6"/>
  <c r="Z35" i="6" s="1"/>
  <c r="Y35" i="6"/>
  <c r="B4" i="10" l="1"/>
  <c r="C4" i="10" s="1"/>
  <c r="C6" i="10"/>
  <c r="C5" i="10"/>
  <c r="C10" i="10"/>
  <c r="B20" i="10"/>
  <c r="C20" i="10" s="1"/>
  <c r="C23" i="10"/>
  <c r="C26" i="10"/>
  <c r="C21" i="10"/>
  <c r="C24" i="10"/>
  <c r="C22" i="10"/>
  <c r="C25" i="10"/>
  <c r="C27" i="10"/>
  <c r="C9" i="10"/>
  <c r="C8" i="10"/>
  <c r="C11" i="10"/>
  <c r="C7" i="10"/>
  <c r="I20" i="6"/>
  <c r="I35" i="6" s="1"/>
  <c r="AB35" i="6" s="1"/>
  <c r="I36" i="6" l="1"/>
  <c r="J34" i="6" s="1"/>
  <c r="J36" i="6" s="1"/>
  <c r="K34" i="6" s="1"/>
  <c r="K36" i="6" s="1"/>
  <c r="L34" i="6" s="1"/>
  <c r="L36" i="6" s="1"/>
  <c r="M34" i="6" s="1"/>
  <c r="M36" i="6" s="1"/>
  <c r="N34" i="6" s="1"/>
  <c r="N36" i="6" s="1"/>
  <c r="O34" i="6" s="1"/>
  <c r="AB20" i="6"/>
  <c r="O36" i="6" l="1"/>
  <c r="P34" i="6" s="1"/>
  <c r="P36" i="6" s="1"/>
  <c r="Q34" i="6" s="1"/>
  <c r="Q36" i="6" s="1"/>
  <c r="R34" i="6" s="1"/>
  <c r="R36" i="6" s="1"/>
  <c r="S34" i="6" s="1"/>
  <c r="S36" i="6" s="1"/>
  <c r="T34" i="6" s="1"/>
  <c r="T36" i="6" s="1"/>
  <c r="U34" i="6" s="1"/>
  <c r="U36" i="6" s="1"/>
  <c r="V34" i="6" s="1"/>
  <c r="V36" i="6" s="1"/>
  <c r="W34" i="6" s="1"/>
  <c r="W36" i="6" s="1"/>
  <c r="X34" i="6" s="1"/>
  <c r="X36" i="6" s="1"/>
  <c r="Y34" i="6" s="1"/>
  <c r="Y36" i="6" s="1"/>
  <c r="Z34" i="6" s="1"/>
  <c r="Z36" i="6" s="1"/>
  <c r="AB36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<sst xmlns="http://schemas.openxmlformats.org/spreadsheetml/2006/main" count="47" uniqueCount="46">
  <si>
    <t>Total Cash and Cash Equivalents End</t>
  </si>
  <si>
    <t>Net (Increase) Decrease In Cash</t>
  </si>
  <si>
    <t xml:space="preserve">Cash and Cash Equivalents Beginning </t>
  </si>
  <si>
    <t>Cash Movement Summary</t>
  </si>
  <si>
    <t>Total Cash Payments</t>
  </si>
  <si>
    <t>Income Taxes</t>
  </si>
  <si>
    <t>Interest</t>
  </si>
  <si>
    <t>Wage Expenses</t>
  </si>
  <si>
    <t>General Operating and Administrative Expenses</t>
  </si>
  <si>
    <t>Inventory Purchases</t>
  </si>
  <si>
    <t>Purchase of Investment Securities</t>
  </si>
  <si>
    <t>Making Loans to Other Entities</t>
  </si>
  <si>
    <t>Purchase of Property and Equipment</t>
  </si>
  <si>
    <t>Cash Payments</t>
  </si>
  <si>
    <t>Total Cash Receipts</t>
  </si>
  <si>
    <t>Other</t>
  </si>
  <si>
    <t>Borrowing</t>
  </si>
  <si>
    <t>Issuance of Stock</t>
  </si>
  <si>
    <t>Sale of Investment Securities</t>
  </si>
  <si>
    <t>Collection of Principal on Loans</t>
  </si>
  <si>
    <t>Sale of Property and Equipment</t>
  </si>
  <si>
    <t>Other Operations</t>
  </si>
  <si>
    <t>Revenue</t>
  </si>
  <si>
    <t>Cash Receipts</t>
  </si>
  <si>
    <t>Calendar Year</t>
  </si>
  <si>
    <t>Period End</t>
  </si>
  <si>
    <t>Total 12 months</t>
  </si>
  <si>
    <t>Period Start</t>
  </si>
  <si>
    <t>12-Month Cash Flow Statement</t>
  </si>
  <si>
    <t>Month</t>
  </si>
  <si>
    <t>12 Month CashFlow</t>
  </si>
  <si>
    <t>Inflows</t>
  </si>
  <si>
    <t>Outflows</t>
  </si>
  <si>
    <t>Inflow Projections</t>
  </si>
  <si>
    <t>Outflow Projections</t>
  </si>
  <si>
    <t>4 Month Projection</t>
  </si>
  <si>
    <t>Inflow Distribution</t>
  </si>
  <si>
    <t xml:space="preserve">Outflow Distribution </t>
  </si>
  <si>
    <t xml:space="preserve">All highlight pink cells can be changed and updated </t>
  </si>
  <si>
    <t>If need, change names on inflows and out flow names or remove those not needed</t>
  </si>
  <si>
    <t>On Dashboard enter month in cell I1, dashboard will auto populate</t>
  </si>
  <si>
    <t xml:space="preserve">ALL FORECASTS ARE BEST ESTIMATE PROJECTS BASED ON 6 months of trend. Remember many factors can play apart of future earnings </t>
  </si>
  <si>
    <t xml:space="preserve">We recommend making a copy of the file before changing anything outside the pink highlighted cells as the rest drive or are driven by calculations </t>
  </si>
  <si>
    <t xml:space="preserve">In data tab, fill in the first 6 months of data, be as accurate as possible as these will drive the forecast </t>
  </si>
  <si>
    <t>Enter company name on line 2 of dashboard</t>
  </si>
  <si>
    <t>Ending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</si>
</sst>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 ;_ * \-#,##0.00_ ;_ * &quot;-&quot;??_ ;_ @_ "/>
    <numFmt numFmtId="165" formatCode="_(#,##0.0_);\(#,##0.0\);_(&quot;-&quot;_);_)@_)"/>
    <numFmt numFmtId="166" formatCode="_(#,##0_);\(#,##0\);_(&quot;-&quot;_);_)@_)"/>
    <numFmt numFmtId="167" formatCode="m/d/yy;@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Arial"/>
      <family val="2"/>
    </font>
    <font>
      <sz val="10"/>
      <color theme="1"/>
      <name val="Arial"/>
      <family val="2"/>
    </font>
    <font>
      <b/>
      <sz val="11"/>
      <color theme="0"/>
      <name val="Arial"/>
      <family val="2"/>
    </font>
    <font>
      <b/>
      <sz val="22"/>
      <color theme="0"/>
      <name val="Arial"/>
      <family val="2"/>
    </font>
    <font>
      <b/>
      <sz val="26"/>
      <color theme="0"/>
      <name val="Arial"/>
      <family val="2"/>
    </font>
    <font>
      <sz val="8"/>
      <name val="Calibri"/>
      <family val="2"/>
      <charset val="204"/>
      <scheme val="minor"/>
    </font>
    <font>
      <sz val="8"/>
      <name val="Calibri"/>
      <family val="2"/>
      <scheme val="minor"/>
    </font>
    <font>
      <b/>
      <sz val="8"/>
      <color rgb="FF0070C0"/>
      <name val="Calibri"/>
      <family val="2"/>
      <charset val="204"/>
      <scheme val="minor"/>
    </font>
    <font>
      <b/>
      <sz val="8"/>
      <color rgb="FF0070C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 Light"/>
      <family val="2"/>
      <charset val="204"/>
      <scheme val="major"/>
    </font>
    <font>
      <b/>
      <sz val="9"/>
      <color rgb="FF0070C0"/>
      <name val="Calibri"/>
      <family val="2"/>
      <scheme val="minor"/>
    </font>
    <font>
      <sz val="8"/>
      <color rgb="FF0070C0"/>
      <name val="Calibri"/>
      <family val="2"/>
      <charset val="204"/>
      <scheme val="minor"/>
    </font>
    <font>
      <sz val="8"/>
      <color rgb="FF0070C0"/>
      <name val="Calibri"/>
      <family val="2"/>
      <scheme val="minor"/>
    </font>
    <font>
      <sz val="9"/>
      <color rgb="FF0070C0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 Light"/>
      <family val="2"/>
      <charset val="204"/>
      <scheme val="major"/>
    </font>
    <font>
      <b/>
      <sz val="8"/>
      <color indexed="60"/>
      <name val="Calibri"/>
      <family val="2"/>
      <scheme val="minor"/>
    </font>
    <font>
      <b/>
      <sz val="8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2"/>
      <name val="Calibri Light"/>
      <family val="2"/>
      <charset val="204"/>
      <scheme val="major"/>
    </font>
    <font>
      <b/>
      <sz val="12"/>
      <name val="Calibri"/>
      <family val="2"/>
      <scheme val="minor"/>
    </font>
    <font>
      <b/>
      <sz val="14"/>
      <name val="Calibri Light"/>
      <family val="2"/>
      <charset val="204"/>
      <scheme val="major"/>
    </font>
    <font>
      <b/>
      <sz val="14"/>
      <color indexed="60"/>
      <name val="Calibri"/>
      <family val="2"/>
      <scheme val="minor"/>
    </font>
    <font>
      <b/>
      <sz val="16"/>
      <color theme="0"/>
      <name val="Arial"/>
      <family val="2"/>
    </font>
    <font>
      <b/>
      <sz val="18"/>
      <color theme="0"/>
      <name val="Arial"/>
      <family val="2"/>
    </font>
    <font>
      <b/>
      <sz val="14"/>
      <color theme="0"/>
      <name val="Arial"/>
      <family val="2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theme="6" tint="-0.24994659260841701"/>
      </right>
      <top style="thick">
        <color theme="6" tint="-0.24994659260841701"/>
      </top>
      <bottom style="thick">
        <color theme="6" tint="-0.24994659260841701"/>
      </bottom>
      <diagonal/>
    </border>
    <border>
      <left/>
      <right/>
      <top style="thick">
        <color theme="6" tint="-0.24994659260841701"/>
      </top>
      <bottom style="thick">
        <color theme="6" tint="-0.24994659260841701"/>
      </bottom>
      <diagonal/>
    </border>
    <border>
      <left style="thick">
        <color theme="6" tint="-0.24994659260841701"/>
      </left>
      <right/>
      <top style="thick">
        <color theme="6" tint="-0.24994659260841701"/>
      </top>
      <bottom style="thick">
        <color theme="6" tint="-0.24994659260841701"/>
      </bottom>
      <diagonal/>
    </border>
    <border>
      <left style="thick">
        <color theme="6" tint="-0.24994659260841701"/>
      </left>
      <right style="thick">
        <color theme="6" tint="-0.24994659260841701"/>
      </right>
      <top style="thick">
        <color theme="6" tint="-0.24994659260841701"/>
      </top>
      <bottom style="thick">
        <color theme="6" tint="-0.2499465926084170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indexed="64"/>
      </bottom>
      <diagonal/>
    </border>
    <border>
      <left style="thin">
        <color rgb="FF92D050"/>
      </left>
      <right style="thick">
        <color theme="6" tint="-0.24994659260841701"/>
      </right>
      <top style="thin">
        <color rgb="FF92D050"/>
      </top>
      <bottom style="thick">
        <color theme="6" tint="-0.24994659260841701"/>
      </bottom>
      <diagonal/>
    </border>
    <border>
      <left style="thick">
        <color theme="6" tint="-0.24994659260841701"/>
      </left>
      <right style="thick">
        <color theme="6" tint="-0.24994659260841701"/>
      </right>
      <top style="thin">
        <color rgb="FF92D050"/>
      </top>
      <bottom style="thick">
        <color theme="6" tint="-0.24994659260841701"/>
      </bottom>
      <diagonal/>
    </border>
    <border>
      <left style="thin">
        <color rgb="FF92D050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rgb="FF92D050"/>
      </left>
      <right/>
      <top style="thin">
        <color theme="6" tint="-0.24994659260841701"/>
      </top>
      <bottom style="thin">
        <color theme="6" tint="-0.24994659260841701"/>
      </bottom>
      <diagonal/>
    </border>
    <border>
      <left style="thick">
        <color theme="6" tint="-0.24994659260841701"/>
      </left>
      <right/>
      <top style="thin">
        <color rgb="FF92D050"/>
      </top>
      <bottom style="thick">
        <color theme="6" tint="-0.24994659260841701"/>
      </bottom>
      <diagonal/>
    </border>
    <border>
      <left style="thick">
        <color theme="6" tint="-0.24994659260841701"/>
      </left>
      <right/>
      <top style="thick">
        <color theme="6" tint="-0.24994659260841701"/>
      </top>
      <bottom/>
      <diagonal/>
    </border>
    <border>
      <left/>
      <right/>
      <top style="thick">
        <color theme="6" tint="-0.24994659260841701"/>
      </top>
      <bottom/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9" fillId="0" borderId="0" applyFill="0" applyBorder="0">
      <alignment vertical="center"/>
    </xf>
    <xf numFmtId="165" fontId="9" fillId="0" borderId="0" applyFill="0" applyBorder="0">
      <alignment vertical="center"/>
    </xf>
    <xf numFmtId="0" fontId="14" fillId="0" borderId="0" applyFill="0" applyBorder="0">
      <alignment vertical="center"/>
    </xf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26" fillId="0" borderId="0" applyFill="0" applyBorder="0">
      <alignment vertical="center"/>
    </xf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2" borderId="0" xfId="0" applyFill="1"/>
    <xf numFmtId="0" fontId="4" fillId="3" borderId="7" xfId="2" applyFont="1" applyFill="1" applyBorder="1" applyAlignment="1">
      <alignment vertical="center"/>
    </xf>
    <xf numFmtId="14" fontId="4" fillId="3" borderId="4" xfId="2" applyNumberFormat="1" applyFont="1" applyFill="1" applyBorder="1" applyAlignment="1">
      <alignment vertical="center"/>
    </xf>
    <xf numFmtId="0" fontId="10" fillId="0" borderId="0" xfId="5" applyFont="1">
      <alignment vertical="center"/>
    </xf>
    <xf numFmtId="166" fontId="11" fillId="0" borderId="0" xfId="6" applyNumberFormat="1" applyFont="1" applyFill="1" applyBorder="1">
      <alignment vertical="center"/>
    </xf>
    <xf numFmtId="166" fontId="12" fillId="0" borderId="0" xfId="6" applyNumberFormat="1" applyFont="1">
      <alignment vertical="center"/>
    </xf>
    <xf numFmtId="0" fontId="13" fillId="0" borderId="0" xfId="5" applyFont="1">
      <alignment vertical="center"/>
    </xf>
    <xf numFmtId="0" fontId="15" fillId="0" borderId="0" xfId="7" applyFont="1">
      <alignment vertical="center"/>
    </xf>
    <xf numFmtId="166" fontId="16" fillId="0" borderId="2" xfId="6" applyNumberFormat="1" applyFont="1" applyFill="1" applyBorder="1">
      <alignment vertical="center"/>
    </xf>
    <xf numFmtId="166" fontId="17" fillId="0" borderId="2" xfId="6" applyNumberFormat="1" applyFont="1" applyBorder="1">
      <alignment vertical="center"/>
    </xf>
    <xf numFmtId="0" fontId="18" fillId="0" borderId="0" xfId="7" applyFont="1">
      <alignment vertical="center"/>
    </xf>
    <xf numFmtId="166" fontId="16" fillId="0" borderId="0" xfId="6" applyNumberFormat="1" applyFont="1" applyFill="1" applyBorder="1">
      <alignment vertical="center"/>
    </xf>
    <xf numFmtId="166" fontId="17" fillId="0" borderId="0" xfId="6" applyNumberFormat="1" applyFont="1">
      <alignment vertical="center"/>
    </xf>
    <xf numFmtId="166" fontId="12" fillId="0" borderId="0" xfId="6" applyNumberFormat="1" applyFont="1" applyBorder="1">
      <alignment vertical="center"/>
    </xf>
    <xf numFmtId="166" fontId="16" fillId="0" borderId="1" xfId="6" applyNumberFormat="1" applyFont="1" applyFill="1" applyBorder="1">
      <alignment vertical="center"/>
    </xf>
    <xf numFmtId="0" fontId="18" fillId="0" borderId="0" xfId="5" applyFont="1">
      <alignment vertical="center"/>
    </xf>
    <xf numFmtId="0" fontId="19" fillId="0" borderId="0" xfId="5" applyFont="1">
      <alignment vertical="center"/>
    </xf>
    <xf numFmtId="0" fontId="21" fillId="0" borderId="0" xfId="8" applyFont="1">
      <alignment vertical="center"/>
    </xf>
    <xf numFmtId="0" fontId="22" fillId="0" borderId="0" xfId="5" applyFont="1">
      <alignment vertical="center"/>
    </xf>
    <xf numFmtId="0" fontId="22" fillId="0" borderId="0" xfId="8" applyFont="1">
      <alignment vertical="center"/>
    </xf>
    <xf numFmtId="167" fontId="22" fillId="0" borderId="0" xfId="5" applyNumberFormat="1" applyFont="1">
      <alignment vertical="center"/>
    </xf>
    <xf numFmtId="0" fontId="25" fillId="0" borderId="0" xfId="9" applyFont="1">
      <alignment vertical="center"/>
    </xf>
    <xf numFmtId="0" fontId="27" fillId="0" borderId="0" xfId="10" applyFont="1">
      <alignment vertical="center"/>
    </xf>
    <xf numFmtId="0" fontId="6" fillId="3" borderId="10" xfId="2" applyFont="1" applyFill="1" applyBorder="1" applyAlignment="1">
      <alignment horizontal="left" vertical="center" wrapText="1"/>
    </xf>
    <xf numFmtId="0" fontId="5" fillId="4" borderId="12" xfId="2" applyFont="1" applyFill="1" applyBorder="1" applyAlignment="1">
      <alignment horizontal="left" vertical="center" indent="1"/>
    </xf>
    <xf numFmtId="0" fontId="6" fillId="3" borderId="11" xfId="2" applyFont="1" applyFill="1" applyBorder="1" applyAlignment="1">
      <alignment horizontal="left" vertical="center" wrapText="1"/>
    </xf>
    <xf numFmtId="0" fontId="0" fillId="5" borderId="0" xfId="0" applyFill="1"/>
    <xf numFmtId="43" fontId="10" fillId="0" borderId="0" xfId="11" applyFont="1" applyAlignment="1">
      <alignment vertical="center"/>
    </xf>
    <xf numFmtId="166" fontId="17" fillId="2" borderId="8" xfId="6" applyNumberFormat="1" applyFont="1" applyFill="1" applyBorder="1">
      <alignment vertical="center"/>
    </xf>
    <xf numFmtId="166" fontId="17" fillId="2" borderId="9" xfId="6" applyNumberFormat="1" applyFont="1" applyFill="1" applyBorder="1">
      <alignment vertical="center"/>
    </xf>
    <xf numFmtId="166" fontId="10" fillId="0" borderId="0" xfId="5" applyNumberFormat="1" applyFont="1">
      <alignment vertical="center"/>
    </xf>
    <xf numFmtId="14" fontId="22" fillId="0" borderId="0" xfId="5" applyNumberFormat="1" applyFont="1">
      <alignment vertical="center"/>
    </xf>
    <xf numFmtId="14" fontId="10" fillId="0" borderId="0" xfId="5" applyNumberFormat="1" applyFont="1">
      <alignment vertical="center"/>
    </xf>
    <xf numFmtId="44" fontId="5" fillId="4" borderId="13" xfId="1" applyFont="1" applyFill="1" applyBorder="1" applyAlignment="1">
      <alignment horizontal="left" vertical="center" indent="1"/>
    </xf>
    <xf numFmtId="0" fontId="6" fillId="3" borderId="14" xfId="2" applyFont="1" applyFill="1" applyBorder="1" applyAlignment="1">
      <alignment horizontal="left" vertical="center" wrapText="1"/>
    </xf>
    <xf numFmtId="0" fontId="6" fillId="3" borderId="0" xfId="2" applyFont="1" applyFill="1" applyAlignment="1">
      <alignment vertical="center" wrapText="1"/>
    </xf>
    <xf numFmtId="167" fontId="22" fillId="5" borderId="3" xfId="5" applyNumberFormat="1" applyFont="1" applyFill="1" applyBorder="1">
      <alignment vertical="center"/>
    </xf>
    <xf numFmtId="166" fontId="17" fillId="5" borderId="3" xfId="6" applyNumberFormat="1" applyFont="1" applyFill="1" applyBorder="1">
      <alignment vertical="center"/>
    </xf>
    <xf numFmtId="0" fontId="2" fillId="0" borderId="0" xfId="0" applyFont="1"/>
    <xf numFmtId="0" fontId="29" fillId="3" borderId="5" xfId="2" applyFont="1" applyFill="1" applyBorder="1" applyAlignment="1">
      <alignment vertical="center"/>
    </xf>
    <xf numFmtId="167" fontId="22" fillId="6" borderId="0" xfId="5" applyNumberFormat="1" applyFont="1" applyFill="1">
      <alignment vertical="center"/>
    </xf>
    <xf numFmtId="166" fontId="31" fillId="5" borderId="8" xfId="6" applyNumberFormat="1" applyFont="1" applyFill="1" applyBorder="1">
      <alignment vertical="center"/>
    </xf>
    <xf numFmtId="166" fontId="31" fillId="5" borderId="9" xfId="6" applyNumberFormat="1" applyFont="1" applyFill="1" applyBorder="1">
      <alignment vertical="center"/>
    </xf>
    <xf numFmtId="0" fontId="28" fillId="3" borderId="0" xfId="2" applyFont="1" applyFill="1" applyAlignment="1">
      <alignment horizontal="center" vertical="center" wrapText="1"/>
    </xf>
    <xf numFmtId="0" fontId="8" fillId="3" borderId="6" xfId="2" applyFont="1" applyFill="1" applyBorder="1" applyAlignment="1">
      <alignment horizontal="center" vertical="center"/>
    </xf>
    <xf numFmtId="0" fontId="8" fillId="3" borderId="5" xfId="2" applyFont="1" applyFill="1" applyBorder="1" applyAlignment="1">
      <alignment horizontal="center" vertical="center"/>
    </xf>
    <xf numFmtId="0" fontId="7" fillId="3" borderId="6" xfId="2" applyFont="1" applyFill="1" applyBorder="1" applyAlignment="1">
      <alignment horizontal="center" vertical="center"/>
    </xf>
    <xf numFmtId="0" fontId="7" fillId="3" borderId="5" xfId="2" applyFont="1" applyFill="1" applyBorder="1" applyAlignment="1">
      <alignment horizontal="center" vertical="center"/>
    </xf>
    <xf numFmtId="44" fontId="30" fillId="3" borderId="6" xfId="1" applyFont="1" applyFill="1" applyBorder="1" applyAlignment="1">
      <alignment horizontal="center" vertical="center"/>
    </xf>
    <xf numFmtId="44" fontId="30" fillId="3" borderId="4" xfId="1" applyFont="1" applyFill="1" applyBorder="1" applyAlignment="1">
      <alignment horizontal="center" vertical="center"/>
    </xf>
    <xf numFmtId="0" fontId="28" fillId="3" borderId="15" xfId="2" applyFont="1" applyFill="1" applyBorder="1" applyAlignment="1">
      <alignment horizontal="center" vertical="center" wrapText="1"/>
    </xf>
    <xf numFmtId="0" fontId="28" fillId="3" borderId="16" xfId="2" applyFont="1" applyFill="1" applyBorder="1" applyAlignment="1">
      <alignment horizontal="center" vertical="center" wrapText="1"/>
    </xf>
    <xf numFmtId="0" fontId="32" fillId="5" borderId="8" xfId="7" applyFont="1" applyFill="1" applyBorder="1" applyAlignment="1">
      <alignment horizontal="left" vertical="center"/>
    </xf>
    <xf numFmtId="0" fontId="23" fillId="0" borderId="0" xfId="5" applyFont="1" applyAlignment="1">
      <alignment horizontal="center" vertical="center" wrapText="1"/>
    </xf>
  </cellXfs>
  <cellStyles count="12">
    <cellStyle name="Comma" xfId="11" builtinId="3"/>
    <cellStyle name="Comma 2" xfId="4" xr:uid="{44FB8181-2479-42AB-8C98-457F241AAFE5}"/>
    <cellStyle name="Currency" xfId="1" builtinId="4"/>
    <cellStyle name="Heading 2." xfId="7" xr:uid="{9523F660-D24C-4E92-B805-24A4C683F44B}"/>
    <cellStyle name="Heading 4." xfId="8" xr:uid="{C053F4D5-D2F7-4DA8-9DD6-3E6F60E263A5}"/>
    <cellStyle name="Model Name." xfId="9" xr:uid="{BC79B5EF-58E1-4E93-B2BC-901F20DE5477}"/>
    <cellStyle name="Normal" xfId="0" builtinId="0"/>
    <cellStyle name="Normal 2" xfId="2" xr:uid="{5D00D053-DE53-4139-ADD9-D65487ABD527}"/>
    <cellStyle name="Normal 3" xfId="5" xr:uid="{8FB9B72D-5519-4AB0-AF40-90E991987B53}"/>
    <cellStyle name="Number." xfId="6" xr:uid="{64C7EF58-E22C-4C94-B42D-62E34331B336}"/>
    <cellStyle name="Percent 2" xfId="3" xr:uid="{4031C51E-ECB6-4D8D-A285-CF7E7C3C8EE7}"/>
    <cellStyle name="Sheet Title." xfId="10" xr:uid="{9C9A41EC-CBC8-4001-8F88-EB49346E4AE8}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9030425138160872"/>
          <c:y val="6.6073910194140911E-2"/>
          <c:w val="0.80776719980327305"/>
          <c:h val="0.85047060386990692"/>
        </c:manualLayout>
      </c:layout>
      <c:bar3DChart>
        <c:barDir val="col"/>
        <c:grouping val="stack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cat>
            <c:numRef>
              <c:f>'12-Month Cash Flow Statement'!$AC$39:$AF$39</c:f>
              <c:numCache>
                <c:formatCode>m/d/yyyy</c:formatCode>
                <c:ptCount val="4"/>
                <c:pt idx="0">
                  <c:v>46053</c:v>
                </c:pt>
                <c:pt idx="1">
                  <c:v>46081</c:v>
                </c:pt>
                <c:pt idx="2">
                  <c:v>46112</c:v>
                </c:pt>
                <c:pt idx="3">
                  <c:v>46142</c:v>
                </c:pt>
              </c:numCache>
            </c:numRef>
          </c:cat>
          <c:val>
            <c:numRef>
              <c:f>'12-Month Cash Flow Statement'!$AC$40:$AF$40</c:f>
              <c:numCache>
                <c:formatCode>_(* #,##0.00_);_(* \(#,##0.00\);_(* "-"??_);_(@_)</c:formatCode>
                <c:ptCount val="4"/>
                <c:pt idx="0">
                  <c:v>15693.792178489657</c:v>
                </c:pt>
                <c:pt idx="1">
                  <c:v>16196.455065796832</c:v>
                </c:pt>
                <c:pt idx="2">
                  <c:v>16752.974691029969</c:v>
                </c:pt>
                <c:pt idx="3">
                  <c:v>17291.542070287771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9D-418C-8E04-2B4B8E5CF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54100143"/>
        <c:axId val="1154098223"/>
        <c:axId val="0"/>
      </c:bar3DChart>
      <c:dateAx>
        <c:axId val="1154100143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4098223"/>
        <c:crosses val="autoZero"/>
        <c:auto val="1"/>
        <c:lblOffset val="100"/>
        <c:baseTimeUnit val="months"/>
      </c:dateAx>
      <c:valAx>
        <c:axId val="1154098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>
            <a:outerShdw blurRad="50800" dist="38100" dir="18900000" algn="bl" rotWithShape="0">
              <a:schemeClr val="accent1">
                <a:lumMod val="20000"/>
                <a:lumOff val="80000"/>
                <a:alpha val="40000"/>
              </a:schemeClr>
            </a:outerShdw>
          </a:effectLst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41001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 w="28575">
      <a:solidFill>
        <a:schemeClr val="bg1"/>
      </a:solidFill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pattFill prst="ltUpDiag">
                <a:fgClr>
                  <a:schemeClr val="accent1"/>
                </a:fgClr>
                <a:bgClr>
                  <a:schemeClr val="accent1"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1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9498-42CE-AC94-94C0BD8E22C8}"/>
              </c:ext>
            </c:extLst>
          </c:dPt>
          <c:dPt>
            <c:idx val="1"/>
            <c:bubble3D val="0"/>
            <c:spPr>
              <a:pattFill prst="ltUpDiag">
                <a:fgClr>
                  <a:schemeClr val="accent2"/>
                </a:fgClr>
                <a:bgClr>
                  <a:schemeClr val="accent2"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2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3-9498-42CE-AC94-94C0BD8E22C8}"/>
              </c:ext>
            </c:extLst>
          </c:dPt>
          <c:dPt>
            <c:idx val="2"/>
            <c:bubble3D val="0"/>
            <c:spPr>
              <a:pattFill prst="ltUpDiag">
                <a:fgClr>
                  <a:schemeClr val="accent3"/>
                </a:fgClr>
                <a:bgClr>
                  <a:schemeClr val="accent3"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3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5-9498-42CE-AC94-94C0BD8E22C8}"/>
              </c:ext>
            </c:extLst>
          </c:dPt>
          <c:dPt>
            <c:idx val="3"/>
            <c:bubble3D val="0"/>
            <c:spPr>
              <a:pattFill prst="ltUpDiag">
                <a:fgClr>
                  <a:schemeClr val="accent4"/>
                </a:fgClr>
                <a:bgClr>
                  <a:schemeClr val="accent4"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4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7-9498-42CE-AC94-94C0BD8E22C8}"/>
              </c:ext>
            </c:extLst>
          </c:dPt>
          <c:dPt>
            <c:idx val="4"/>
            <c:bubble3D val="0"/>
            <c:spPr>
              <a:pattFill prst="ltUpDiag">
                <a:fgClr>
                  <a:schemeClr val="accent5"/>
                </a:fgClr>
                <a:bgClr>
                  <a:schemeClr val="accent5"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5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9-9498-42CE-AC94-94C0BD8E22C8}"/>
              </c:ext>
            </c:extLst>
          </c:dPt>
          <c:dPt>
            <c:idx val="5"/>
            <c:bubble3D val="0"/>
            <c:spPr>
              <a:pattFill prst="ltUpDiag">
                <a:fgClr>
                  <a:schemeClr val="accent6"/>
                </a:fgClr>
                <a:bgClr>
                  <a:schemeClr val="accent6"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6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B-9498-42CE-AC94-94C0BD8E22C8}"/>
              </c:ext>
            </c:extLst>
          </c:dPt>
          <c:dPt>
            <c:idx val="6"/>
            <c:bubble3D val="0"/>
            <c:spPr>
              <a:pattFill prst="ltUpDiag">
                <a:fgClr>
                  <a:schemeClr val="accent1">
                    <a:lumMod val="60000"/>
                  </a:schemeClr>
                </a:fgClr>
                <a:bgClr>
                  <a:schemeClr val="accent1">
                    <a:lumMod val="60000"/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1">
                    <a:lumMod val="60000"/>
                  </a:scheme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D-9498-42CE-AC94-94C0BD8E22C8}"/>
              </c:ext>
            </c:extLst>
          </c:dPt>
          <c:dPt>
            <c:idx val="7"/>
            <c:bubble3D val="0"/>
            <c:spPr>
              <a:pattFill prst="ltUpDiag">
                <a:fgClr>
                  <a:schemeClr val="accent2">
                    <a:lumMod val="60000"/>
                  </a:schemeClr>
                </a:fgClr>
                <a:bgClr>
                  <a:schemeClr val="accent2">
                    <a:lumMod val="60000"/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2">
                    <a:lumMod val="60000"/>
                  </a:scheme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F-9498-42CE-AC94-94C0BD8E22C8}"/>
              </c:ext>
            </c:extLst>
          </c:dPt>
          <c:cat>
            <c:strRef>
              <c:f>'Cashflow Dashboard'!$B$4:$B$11</c:f>
              <c:strCache>
                <c:ptCount val="8"/>
                <c:pt idx="0">
                  <c:v>Revenue</c:v>
                </c:pt>
                <c:pt idx="1">
                  <c:v>Other Operations</c:v>
                </c:pt>
                <c:pt idx="2">
                  <c:v>Sale of Property and Equipment</c:v>
                </c:pt>
                <c:pt idx="3">
                  <c:v>Collection of Principal on Loans</c:v>
                </c:pt>
                <c:pt idx="4">
                  <c:v>Sale of Investment Securities</c:v>
                </c:pt>
                <c:pt idx="5">
                  <c:v>Issuance of Stock</c:v>
                </c:pt>
                <c:pt idx="6">
                  <c:v>Borrowing</c:v>
                </c:pt>
                <c:pt idx="7">
                  <c:v>Other</c:v>
                </c:pt>
              </c:strCache>
            </c:strRef>
          </c:cat>
          <c:val>
            <c:numRef>
              <c:f>'Cashflow Dashboard'!$C$4:$C$11</c:f>
              <c:numCache>
                <c:formatCode>_("$"* #,##0.00_);_("$"* \(#,##0.00\);_("$"* "-"??_);_(@_)</c:formatCode>
                <c:ptCount val="8"/>
                <c:pt idx="0">
                  <c:v>11077.580737868964</c:v>
                </c:pt>
                <c:pt idx="1">
                  <c:v>370.03865531068004</c:v>
                </c:pt>
                <c:pt idx="2">
                  <c:v>480.08776873589522</c:v>
                </c:pt>
                <c:pt idx="3">
                  <c:v>533.43085415099631</c:v>
                </c:pt>
                <c:pt idx="4">
                  <c:v>1863.514970102231</c:v>
                </c:pt>
                <c:pt idx="5">
                  <c:v>480.08776873589522</c:v>
                </c:pt>
                <c:pt idx="6">
                  <c:v>533.43085415099631</c:v>
                </c:pt>
                <c:pt idx="7">
                  <c:v>355.62056943399875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3F-4D63-B3BD-FCB5246EAC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bg1">
                  <a:lumMod val="9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2">
        <a:lumMod val="25000"/>
      </a:schemeClr>
    </a:solidFill>
    <a:ln w="28575" cap="flat" cmpd="sng" algn="ctr">
      <a:solidFill>
        <a:schemeClr val="bg1"/>
      </a:solidFill>
      <a:round/>
    </a:ln>
    <a:effectLst>
      <a:outerShdw blurRad="50800" dist="50800" dir="5400000" algn="ctr" rotWithShape="0">
        <a:schemeClr val="bg2">
          <a:lumMod val="25000"/>
        </a:scheme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6178150463076389"/>
          <c:y val="2.3809523809523808E-2"/>
          <c:w val="0.49647936633145873"/>
          <c:h val="0.8690476190476190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512-432F-9715-AC8D71B95B4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512-432F-9715-AC8D71B95B4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0512-432F-9715-AC8D71B95B4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0512-432F-9715-AC8D71B95B4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0512-432F-9715-AC8D71B95B4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0512-432F-9715-AC8D71B95B4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0512-432F-9715-AC8D71B95B4B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0512-432F-9715-AC8D71B95B4B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'Cashflow Dashboard'!$B$20:$B$27</c:f>
              <c:strCache>
                <c:ptCount val="8"/>
                <c:pt idx="0">
                  <c:v>Purchase of Property and Equipment</c:v>
                </c:pt>
                <c:pt idx="1">
                  <c:v>Making Loans to Other Entities</c:v>
                </c:pt>
                <c:pt idx="2">
                  <c:v>Purchase of Investment Securities</c:v>
                </c:pt>
                <c:pt idx="3">
                  <c:v>Inventory Purchases</c:v>
                </c:pt>
                <c:pt idx="4">
                  <c:v>General Operating and Administrative Expenses</c:v>
                </c:pt>
                <c:pt idx="5">
                  <c:v>Wage Expenses</c:v>
                </c:pt>
                <c:pt idx="6">
                  <c:v>Interest</c:v>
                </c:pt>
                <c:pt idx="7">
                  <c:v>Income Taxes</c:v>
                </c:pt>
              </c:strCache>
            </c:strRef>
          </c:cat>
          <c:val>
            <c:numRef>
              <c:f>'Cashflow Dashboard'!$C$20:$C$27</c:f>
              <c:numCache>
                <c:formatCode>_("$"* #,##0.00_);_("$"* \(#,##0.00\);_("$"* "-"??_);_(@_)</c:formatCode>
                <c:ptCount val="8"/>
                <c:pt idx="0">
                  <c:v>-401.12528311397546</c:v>
                </c:pt>
                <c:pt idx="1">
                  <c:v>-723.39801896170684</c:v>
                </c:pt>
                <c:pt idx="2">
                  <c:v>-370.03865531068004</c:v>
                </c:pt>
                <c:pt idx="3">
                  <c:v>-2273.2746591074683</c:v>
                </c:pt>
                <c:pt idx="4">
                  <c:v>-723.39801896170684</c:v>
                </c:pt>
                <c:pt idx="5">
                  <c:v>-370.03865531068004</c:v>
                </c:pt>
                <c:pt idx="6">
                  <c:v>-2273.2746591074683</c:v>
                </c:pt>
                <c:pt idx="7">
                  <c:v>-1863.514970102231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512-432F-9715-AC8D71B95B4B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5.7969361369878195E-2"/>
          <c:y val="5.4683633295838023E-2"/>
          <c:w val="0.34174642214894368"/>
          <c:h val="0.89677381023112124"/>
        </c:manualLayout>
      </c:layout>
      <c:overlay val="0"/>
      <c:spPr>
        <a:solidFill>
          <a:schemeClr val="accent1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2">
        <a:lumMod val="25000"/>
      </a:schemeClr>
    </a:solidFill>
    <a:ln w="2857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9030425138160872"/>
          <c:y val="6.6073910194140911E-2"/>
          <c:w val="0.80776719980327305"/>
          <c:h val="0.85047060386990692"/>
        </c:manualLayout>
      </c:layout>
      <c:bar3DChart>
        <c:barDir val="col"/>
        <c:grouping val="stack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1"/>
          <c:cat>
            <c:numRef>
              <c:f>'12-Month Cash Flow Statement'!$AC$43:$AF$43</c:f>
              <c:numCache>
                <c:formatCode>m/d/yyyy</c:formatCode>
                <c:ptCount val="4"/>
                <c:pt idx="0">
                  <c:v>46053</c:v>
                </c:pt>
                <c:pt idx="1">
                  <c:v>46081</c:v>
                </c:pt>
                <c:pt idx="2">
                  <c:v>46112</c:v>
                </c:pt>
                <c:pt idx="3">
                  <c:v>46142</c:v>
                </c:pt>
              </c:numCache>
            </c:numRef>
          </c:cat>
          <c:val>
            <c:numRef>
              <c:f>'12-Month Cash Flow Statement'!$AC$44:$AF$44</c:f>
              <c:numCache>
                <c:formatCode>_(* #,##0.00_);_(* \(#,##0.00\);_(* "-"??_);_(@_)</c:formatCode>
                <c:ptCount val="4"/>
                <c:pt idx="0">
                  <c:v>8998.0629199759169</c:v>
                </c:pt>
                <c:pt idx="1">
                  <c:v>9395.9355883710559</c:v>
                </c:pt>
                <c:pt idx="2">
                  <c:v>9836.4374712371755</c:v>
                </c:pt>
                <c:pt idx="3">
                  <c:v>10262.729615946235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EB-4748-8DF9-6E32A87DC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154100143"/>
        <c:axId val="1154098223"/>
        <c:axId val="0"/>
      </c:bar3DChart>
      <c:dateAx>
        <c:axId val="1154100143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4098223"/>
        <c:crosses val="autoZero"/>
        <c:auto val="1"/>
        <c:lblOffset val="100"/>
        <c:baseTimeUnit val="months"/>
      </c:dateAx>
      <c:valAx>
        <c:axId val="1154098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out"/>
        <c:minorTickMark val="none"/>
        <c:tickLblPos val="nextTo"/>
        <c:spPr>
          <a:noFill/>
          <a:ln>
            <a:noFill/>
          </a:ln>
          <a:effectLst>
            <a:outerShdw blurRad="50800" dist="38100" dir="18000000" algn="bl" rotWithShape="0">
              <a:schemeClr val="accent1">
                <a:lumMod val="20000"/>
                <a:lumOff val="80000"/>
                <a:alpha val="40000"/>
              </a:schemeClr>
            </a:outerShdw>
            <a:softEdge rad="0"/>
          </a:effectLst>
        </c:spPr>
        <c:txPr>
          <a:bodyPr rot="0" spcFirstLastPara="1" vertOverflow="ellipsis" wrap="square" anchor="t" anchorCtr="0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41001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 w="28575">
      <a:solidFill>
        <a:schemeClr val="bg1">
          <a:alpha val="94000"/>
        </a:schemeClr>
      </a:solidFill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ltUp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 w="19050">
        <a:solidFill>
          <a:schemeClr val="lt1"/>
        </a:solidFill>
      </a:ln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 w="19050">
        <a:solidFill>
          <a:schemeClr val="lt1"/>
        </a:solidFill>
      </a:ln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519953</xdr:colOff>
      <xdr:row>3</xdr:row>
      <xdr:rowOff>179294</xdr:rowOff>
    </xdr:from>
    <xdr:to>
      <xdr:col>5</xdr:col>
      <xdr:colOff>1156447</xdr:colOff>
      <xdr:row>15</xdr:row>
      <xdr:rowOff>170330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93BD63F-27C9-4278-A093-4785DFE49E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224117</xdr:colOff>
      <xdr:row>4</xdr:row>
      <xdr:rowOff>0</xdr:rowOff>
    </xdr:from>
    <xdr:to>
      <xdr:col>7</xdr:col>
      <xdr:colOff>1744531</xdr:colOff>
      <xdr:row>15</xdr:row>
      <xdr:rowOff>161365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42FCA86-C683-7DBB-67F8-18D67CAC1F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206829</xdr:colOff>
      <xdr:row>19</xdr:row>
      <xdr:rowOff>152400</xdr:rowOff>
    </xdr:from>
    <xdr:to>
      <xdr:col>7</xdr:col>
      <xdr:colOff>1794480</xdr:colOff>
      <xdr:row>31</xdr:row>
      <xdr:rowOff>179936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850596C-C5E9-4485-94EC-F72D4D859D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591671</xdr:colOff>
      <xdr:row>20</xdr:row>
      <xdr:rowOff>0</xdr:rowOff>
    </xdr:from>
    <xdr:to>
      <xdr:col>5</xdr:col>
      <xdr:colOff>1273629</xdr:colOff>
      <xdr:row>32</xdr:row>
      <xdr:rowOff>26895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108041F-A23F-4C21-8DAD-18484CD639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Risk-Assessment-and-Control-Template2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sk Assessment &amp; Control"/>
    </sheetNames>
    <sheetDataSet>
      <sheetData sheetId="0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52073EE-3566-4A0B-9FE0-D4D960A0E352}">
  <we:reference id="wa200003784" version="1.2.0.1" store="en-US" storeType="OMEX"/>
  <we:alternateReferences>
    <we:reference id="wa200003784" version="1.2.0.1" store="WA200003784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8C753-F735-412A-99BF-4E7CC942218C}">
  <sheetPr>
    <tabColor theme="2" tint="-9.9978637043366805E-2"/>
  </sheetPr>
  <dimension ref="B1:L52"/>
  <sheetViews>
    <sheetView showGridLines="0" tabSelected="1" zoomScale="59" zoomScaleNormal="85" workbookViewId="0">
      <selection activeCell="J8" sqref="J8:K8"/>
    </sheetView>
  </sheetViews>
  <sheetFormatPr defaultRowHeight="14.4" x14ac:dyDescent="0.3"/>
  <cols>
    <col min="2" max="2" width="49.77734375" customWidth="1"/>
    <col min="3" max="3" width="23.33203125" customWidth="1"/>
    <col min="4" max="4" width="13.33203125" customWidth="1"/>
    <col min="5" max="5" width="32.33203125" customWidth="1"/>
    <col min="6" max="6" width="23.44140625" customWidth="1"/>
    <col min="7" max="7" width="32.33203125" customWidth="1"/>
    <col min="8" max="8" width="27.77734375" customWidth="1"/>
    <col min="9" max="9" width="8.44140625" customWidth="1"/>
    <col min="10" max="10" width="13.33203125" customWidth="1"/>
    <col min="11" max="11" width="12.44140625" customWidth="1"/>
  </cols>
  <sheetData>
    <row r="1" spans="2:12" ht="34.200000000000003" thickTop="1" thickBot="1" x14ac:dyDescent="0.35">
      <c r="B1" s="45" t="s">
        <v>30</v>
      </c>
      <c r="C1" s="46"/>
      <c r="D1" s="46"/>
      <c r="E1" s="46"/>
      <c r="F1" s="46"/>
      <c r="G1" s="46"/>
      <c r="H1" s="46"/>
      <c r="I1" s="2" t="s">
        <v>29</v>
      </c>
      <c r="J1" s="3">
        <v>46053</v>
      </c>
      <c r="L1" s="1"/>
    </row>
    <row r="2" spans="2:12" ht="29.4" thickTop="1" thickBot="1" x14ac:dyDescent="0.35">
      <c r="B2" s="47"/>
      <c r="C2" s="48"/>
      <c r="D2" s="48"/>
      <c r="E2" s="48"/>
      <c r="F2" s="48"/>
      <c r="G2" s="48"/>
      <c r="H2" s="40" t="s">
        <v>45</v>
      </c>
      <c r="I2" s="49">
        <f>_xlfn.XLOOKUP(J1,'12-Month Cash Flow Statement'!8:8,'12-Month Cash Flow Statement'!36:36)</f>
        <v>98415.003765357891</v>
      </c>
      <c r="J2" s="50"/>
      <c r="L2" s="1"/>
    </row>
    <row r="3" spans="2:12" ht="21" customHeight="1" thickTop="1" thickBot="1" x14ac:dyDescent="0.35">
      <c r="B3" s="24" t="s">
        <v>33</v>
      </c>
      <c r="C3" s="26"/>
      <c r="D3" s="51" t="s">
        <v>35</v>
      </c>
      <c r="E3" s="52"/>
      <c r="F3" s="52"/>
      <c r="G3" s="52" t="s">
        <v>36</v>
      </c>
      <c r="H3" s="52"/>
      <c r="I3" s="36"/>
      <c r="J3" s="1"/>
      <c r="K3" s="1"/>
      <c r="L3" s="1"/>
    </row>
    <row r="4" spans="2:12" ht="15" thickTop="1" x14ac:dyDescent="0.3">
      <c r="B4" s="25" t="str" cm="1">
        <f t="array" ref="B4:B11">_xlfn._xlws.FILTER('12-Month Cash Flow Statement'!AD12:AD19,'12-Month Cash Flow Statement'!AD12:AD19 &lt;&gt;"")</f>
        <v>Revenue</v>
      </c>
      <c r="C4" s="34">
        <f>_xlfn.IFNA(_xlfn.XLOOKUP(B4,'12-Month Cash Flow Statement'!$AD$12:$AD$19,'12-Month Cash Flow Statement'!$AC$12:$AC$19),"")</f>
        <v>11077.580737868964</v>
      </c>
      <c r="D4" s="36"/>
      <c r="E4" s="36"/>
      <c r="F4" s="36"/>
      <c r="G4" s="36"/>
      <c r="H4" s="36"/>
      <c r="I4" s="36"/>
      <c r="J4" s="1"/>
      <c r="K4" s="1"/>
      <c r="L4" s="1"/>
    </row>
    <row r="5" spans="2:12" ht="14.4" customHeight="1" x14ac:dyDescent="0.3">
      <c r="B5" s="25" t="str">
        <v>Other Operations</v>
      </c>
      <c r="C5" s="34">
        <f>_xlfn.IFNA(_xlfn.XLOOKUP(B5,'12-Month Cash Flow Statement'!$AD$12:$AD$19,'12-Month Cash Flow Statement'!$AC$12:$AC$19),"")</f>
        <v>370.03865531068004</v>
      </c>
      <c r="D5" s="36"/>
      <c r="E5" s="36"/>
      <c r="F5" s="36"/>
      <c r="G5" s="36"/>
      <c r="H5" s="36"/>
      <c r="I5" s="36"/>
      <c r="J5" s="1"/>
      <c r="K5" s="1"/>
      <c r="L5" s="1"/>
    </row>
    <row r="6" spans="2:12" x14ac:dyDescent="0.3">
      <c r="B6" s="25" t="str">
        <v>Sale of Property and Equipment</v>
      </c>
      <c r="C6" s="34">
        <f>_xlfn.IFNA(_xlfn.XLOOKUP(B6,'12-Month Cash Flow Statement'!$AD$12:$AD$19,'12-Month Cash Flow Statement'!$AC$12:$AC$19),"")</f>
        <v>480.08776873589522</v>
      </c>
      <c r="D6" s="36"/>
      <c r="E6" s="36"/>
      <c r="F6" s="36"/>
      <c r="G6" s="36"/>
      <c r="H6" s="36"/>
      <c r="I6" s="36"/>
      <c r="J6" s="1"/>
      <c r="K6" s="1"/>
      <c r="L6" s="1"/>
    </row>
    <row r="7" spans="2:12" x14ac:dyDescent="0.3">
      <c r="B7" s="25" t="str">
        <v>Collection of Principal on Loans</v>
      </c>
      <c r="C7" s="34">
        <f>_xlfn.IFNA(_xlfn.XLOOKUP(B7,'12-Month Cash Flow Statement'!$AD$12:$AD$19,'12-Month Cash Flow Statement'!$AC$12:$AC$19),"")</f>
        <v>533.43085415099631</v>
      </c>
      <c r="D7" s="36"/>
      <c r="E7" s="36"/>
      <c r="F7" s="36"/>
      <c r="G7" s="36"/>
      <c r="H7" s="36"/>
      <c r="I7" s="36"/>
      <c r="J7" s="1"/>
      <c r="K7" s="1"/>
      <c r="L7" s="1"/>
    </row>
    <row r="8" spans="2:12" x14ac:dyDescent="0.3">
      <c r="B8" s="25" t="str">
        <v>Sale of Investment Securities</v>
      </c>
      <c r="C8" s="34">
        <f>_xlfn.IFNA(_xlfn.XLOOKUP(B8,'12-Month Cash Flow Statement'!$AD$12:$AD$19,'12-Month Cash Flow Statement'!$AC$12:$AC$19),"")</f>
        <v>1863.514970102231</v>
      </c>
      <c r="D8" s="36"/>
      <c r="E8" s="36"/>
      <c r="F8" s="36"/>
      <c r="G8" s="36"/>
      <c r="H8" s="36"/>
      <c r="I8" s="36"/>
      <c r="J8" s="1"/>
      <c r="K8" s="1"/>
      <c r="L8" s="1"/>
    </row>
    <row r="9" spans="2:12" x14ac:dyDescent="0.3">
      <c r="B9" s="25" t="str">
        <v>Issuance of Stock</v>
      </c>
      <c r="C9" s="34">
        <f>_xlfn.IFNA(_xlfn.XLOOKUP(B9,'12-Month Cash Flow Statement'!$AD$12:$AD$19,'12-Month Cash Flow Statement'!$AC$12:$AC$19),"")</f>
        <v>480.08776873589522</v>
      </c>
      <c r="D9" s="36"/>
      <c r="E9" s="36"/>
      <c r="F9" s="36"/>
      <c r="G9" s="36"/>
      <c r="H9" s="36"/>
      <c r="I9" s="36"/>
      <c r="J9" s="1"/>
      <c r="K9" s="1"/>
      <c r="L9" s="1"/>
    </row>
    <row r="10" spans="2:12" x14ac:dyDescent="0.3">
      <c r="B10" s="25" t="str">
        <v>Borrowing</v>
      </c>
      <c r="C10" s="34">
        <f>_xlfn.IFNA(_xlfn.XLOOKUP(B10,'12-Month Cash Flow Statement'!$AD$12:$AD$19,'12-Month Cash Flow Statement'!$AC$12:$AC$19),"")</f>
        <v>533.43085415099631</v>
      </c>
      <c r="D10" s="36"/>
      <c r="E10" s="36"/>
      <c r="F10" s="36"/>
      <c r="G10" s="36"/>
      <c r="H10" s="36"/>
      <c r="I10" s="36"/>
      <c r="J10" s="1"/>
      <c r="K10" s="1"/>
      <c r="L10" s="1"/>
    </row>
    <row r="11" spans="2:12" x14ac:dyDescent="0.3">
      <c r="B11" s="25" t="str">
        <v>Other</v>
      </c>
      <c r="C11" s="34">
        <f>_xlfn.IFNA(_xlfn.XLOOKUP(B11,'12-Month Cash Flow Statement'!$AD$12:$AD$19,'12-Month Cash Flow Statement'!$AC$12:$AC$19),"")</f>
        <v>355.62056943399875</v>
      </c>
      <c r="D11" s="36"/>
      <c r="E11" s="36"/>
      <c r="F11" s="36"/>
      <c r="G11" s="36"/>
      <c r="H11" s="36"/>
      <c r="I11" s="36"/>
      <c r="J11" s="1"/>
      <c r="K11" s="1"/>
      <c r="L11" s="1"/>
    </row>
    <row r="12" spans="2:12" x14ac:dyDescent="0.3">
      <c r="B12" s="25"/>
      <c r="C12" s="34" t="str">
        <f>_xlfn.IFNA(_xlfn.XLOOKUP(B12,'12-Month Cash Flow Statement'!$AD$12:$AD$19,'12-Month Cash Flow Statement'!$AC$12:$AC$19),"")</f>
        <v/>
      </c>
      <c r="D12" s="36"/>
      <c r="E12" s="36"/>
      <c r="F12" s="36"/>
      <c r="G12" s="36"/>
      <c r="H12" s="36"/>
      <c r="I12" s="36"/>
      <c r="J12" s="1"/>
      <c r="K12" s="1"/>
      <c r="L12" s="1"/>
    </row>
    <row r="13" spans="2:12" x14ac:dyDescent="0.3">
      <c r="B13" s="25"/>
      <c r="C13" s="34"/>
      <c r="D13" s="36"/>
      <c r="E13" s="36"/>
      <c r="F13" s="36"/>
      <c r="G13" s="36"/>
      <c r="H13" s="36"/>
      <c r="I13" s="36"/>
      <c r="J13" s="1"/>
      <c r="K13" s="1"/>
      <c r="L13" s="1"/>
    </row>
    <row r="14" spans="2:12" x14ac:dyDescent="0.3">
      <c r="B14" s="25"/>
      <c r="C14" s="34"/>
      <c r="D14" s="36"/>
      <c r="E14" s="36"/>
      <c r="F14" s="36"/>
      <c r="G14" s="36"/>
      <c r="H14" s="36"/>
      <c r="I14" s="36"/>
      <c r="J14" s="1"/>
      <c r="K14" s="1"/>
      <c r="L14" s="1"/>
    </row>
    <row r="15" spans="2:12" x14ac:dyDescent="0.3">
      <c r="B15" s="25"/>
      <c r="C15" s="34"/>
      <c r="D15" s="36"/>
      <c r="E15" s="36"/>
      <c r="F15" s="36"/>
      <c r="G15" s="36"/>
      <c r="H15" s="36"/>
      <c r="I15" s="36"/>
      <c r="J15" s="1"/>
      <c r="K15" s="1"/>
      <c r="L15" s="1"/>
    </row>
    <row r="16" spans="2:12" x14ac:dyDescent="0.3">
      <c r="B16" s="25"/>
      <c r="C16" s="34"/>
      <c r="D16" s="36"/>
      <c r="E16" s="36"/>
      <c r="F16" s="36"/>
      <c r="G16" s="36"/>
      <c r="H16" s="36"/>
      <c r="I16" s="36"/>
      <c r="J16" s="1"/>
      <c r="K16" s="1"/>
      <c r="L16" s="1"/>
    </row>
    <row r="17" spans="2:12" x14ac:dyDescent="0.3">
      <c r="B17" s="25"/>
      <c r="C17" s="34"/>
      <c r="D17" s="36"/>
      <c r="E17" s="36"/>
      <c r="F17" s="36"/>
      <c r="G17" s="36"/>
      <c r="H17" s="36"/>
      <c r="I17" s="36"/>
      <c r="J17" s="1"/>
      <c r="K17" s="1"/>
      <c r="L17" s="1"/>
    </row>
    <row r="18" spans="2:12" x14ac:dyDescent="0.3">
      <c r="B18" s="25"/>
      <c r="C18" s="34"/>
      <c r="D18" s="36"/>
      <c r="E18" s="36"/>
      <c r="F18" s="36"/>
      <c r="G18" s="36"/>
      <c r="H18" s="36"/>
      <c r="I18" s="36"/>
      <c r="J18" s="1"/>
      <c r="K18" s="1"/>
      <c r="L18" s="1"/>
    </row>
    <row r="19" spans="2:12" ht="21.6" thickBot="1" x14ac:dyDescent="0.35">
      <c r="B19" s="24" t="s">
        <v>34</v>
      </c>
      <c r="C19" s="35"/>
      <c r="D19" s="44" t="s">
        <v>35</v>
      </c>
      <c r="E19" s="44"/>
      <c r="F19" s="44"/>
      <c r="G19" s="44" t="s">
        <v>37</v>
      </c>
      <c r="H19" s="44"/>
      <c r="I19" s="36"/>
      <c r="J19" s="1"/>
      <c r="K19" s="1"/>
      <c r="L19" s="1"/>
    </row>
    <row r="20" spans="2:12" ht="15" thickTop="1" x14ac:dyDescent="0.3">
      <c r="B20" s="25" t="str" cm="1">
        <f t="array" ref="B20:B27">_xlfn._xlws.FILTER('12-Month Cash Flow Statement'!AD23:AD30,'12-Month Cash Flow Statement'!AD23:AD30 &lt;&gt;"")</f>
        <v>Purchase of Property and Equipment</v>
      </c>
      <c r="C20" s="34">
        <f>_xlfn.IFNA(_xlfn.XLOOKUP(B20,'12-Month Cash Flow Statement'!$AD$23:$AD$30,'12-Month Cash Flow Statement'!$AC$23:$AC$30),"")</f>
        <v>-401.12528311397546</v>
      </c>
      <c r="D20" s="36"/>
      <c r="E20" s="36"/>
      <c r="F20" s="36"/>
      <c r="G20" s="36"/>
      <c r="H20" s="36"/>
      <c r="I20" s="36"/>
      <c r="J20" s="1"/>
      <c r="K20" s="1"/>
      <c r="L20" s="1"/>
    </row>
    <row r="21" spans="2:12" x14ac:dyDescent="0.3">
      <c r="B21" s="25" t="str">
        <v>Making Loans to Other Entities</v>
      </c>
      <c r="C21" s="34">
        <f>_xlfn.IFNA(_xlfn.XLOOKUP(B21,'12-Month Cash Flow Statement'!$AD$23:$AD$30,'12-Month Cash Flow Statement'!$AC$23:$AC$30),"")</f>
        <v>-723.39801896170684</v>
      </c>
      <c r="D21" s="36"/>
      <c r="E21" s="36"/>
      <c r="F21" s="36"/>
      <c r="G21" s="36"/>
      <c r="H21" s="36"/>
      <c r="I21" s="36"/>
      <c r="J21" s="1"/>
      <c r="K21" s="1"/>
      <c r="L21" s="1"/>
    </row>
    <row r="22" spans="2:12" x14ac:dyDescent="0.3">
      <c r="B22" s="25" t="str">
        <v>Purchase of Investment Securities</v>
      </c>
      <c r="C22" s="34">
        <f>_xlfn.IFNA(_xlfn.XLOOKUP(B22,'12-Month Cash Flow Statement'!$AD$23:$AD$30,'12-Month Cash Flow Statement'!$AC$23:$AC$30),"")</f>
        <v>-370.03865531068004</v>
      </c>
      <c r="D22" s="36"/>
      <c r="E22" s="36"/>
      <c r="F22" s="36"/>
      <c r="G22" s="36"/>
      <c r="H22" s="36"/>
      <c r="I22" s="36"/>
      <c r="J22" s="1"/>
      <c r="K22" s="1"/>
      <c r="L22" s="1"/>
    </row>
    <row r="23" spans="2:12" x14ac:dyDescent="0.3">
      <c r="B23" s="25" t="str">
        <v>Inventory Purchases</v>
      </c>
      <c r="C23" s="34">
        <f>_xlfn.IFNA(_xlfn.XLOOKUP(B23,'12-Month Cash Flow Statement'!$AD$23:$AD$30,'12-Month Cash Flow Statement'!$AC$23:$AC$30),"")</f>
        <v>-2273.2746591074683</v>
      </c>
      <c r="D23" s="36"/>
      <c r="E23" s="36"/>
      <c r="F23" s="36"/>
      <c r="G23" s="36"/>
      <c r="H23" s="36"/>
      <c r="I23" s="36"/>
    </row>
    <row r="24" spans="2:12" x14ac:dyDescent="0.3">
      <c r="B24" s="25" t="str">
        <v>General Operating and Administrative Expenses</v>
      </c>
      <c r="C24" s="34">
        <f>_xlfn.IFNA(_xlfn.XLOOKUP(B24,'12-Month Cash Flow Statement'!$AD$23:$AD$30,'12-Month Cash Flow Statement'!$AC$23:$AC$30),"")</f>
        <v>-723.39801896170684</v>
      </c>
      <c r="D24" s="36"/>
      <c r="E24" s="36"/>
      <c r="F24" s="36"/>
      <c r="G24" s="36"/>
      <c r="H24" s="36"/>
      <c r="I24" s="36"/>
      <c r="J24" s="1"/>
      <c r="K24" s="1"/>
      <c r="L24" s="1"/>
    </row>
    <row r="25" spans="2:12" x14ac:dyDescent="0.3">
      <c r="B25" s="25" t="str">
        <v>Wage Expenses</v>
      </c>
      <c r="C25" s="34">
        <f>_xlfn.IFNA(_xlfn.XLOOKUP(B25,'12-Month Cash Flow Statement'!$AD$23:$AD$30,'12-Month Cash Flow Statement'!$AC$23:$AC$30),"")</f>
        <v>-370.03865531068004</v>
      </c>
      <c r="D25" s="36"/>
      <c r="E25" s="36"/>
      <c r="F25" s="36"/>
      <c r="G25" s="36"/>
      <c r="H25" s="36"/>
      <c r="I25" s="36"/>
      <c r="J25" s="1"/>
      <c r="K25" s="1"/>
      <c r="L25" s="1"/>
    </row>
    <row r="26" spans="2:12" x14ac:dyDescent="0.3">
      <c r="B26" s="25" t="str">
        <v>Interest</v>
      </c>
      <c r="C26" s="34">
        <f>_xlfn.IFNA(_xlfn.XLOOKUP(B26,'12-Month Cash Flow Statement'!$AD$23:$AD$30,'12-Month Cash Flow Statement'!$AC$23:$AC$30),"")</f>
        <v>-2273.2746591074683</v>
      </c>
      <c r="D26" s="36"/>
      <c r="E26" s="36"/>
      <c r="F26" s="36"/>
      <c r="G26" s="36"/>
      <c r="H26" s="36"/>
      <c r="I26" s="36"/>
      <c r="J26" s="1"/>
      <c r="K26" s="1"/>
      <c r="L26" s="1"/>
    </row>
    <row r="27" spans="2:12" x14ac:dyDescent="0.3">
      <c r="B27" s="25" t="str">
        <v>Income Taxes</v>
      </c>
      <c r="C27" s="34">
        <f>_xlfn.IFNA(_xlfn.XLOOKUP(B27,'12-Month Cash Flow Statement'!$AD$23:$AD$30,'12-Month Cash Flow Statement'!$AC$23:$AC$30),"")</f>
        <v>-1863.514970102231</v>
      </c>
      <c r="D27" s="36"/>
      <c r="E27" s="36"/>
      <c r="F27" s="36"/>
      <c r="G27" s="36"/>
      <c r="H27" s="36"/>
      <c r="I27" s="36"/>
      <c r="J27" s="1"/>
      <c r="K27" s="1"/>
      <c r="L27" s="1"/>
    </row>
    <row r="28" spans="2:12" x14ac:dyDescent="0.3">
      <c r="B28" s="25"/>
      <c r="C28" s="34" t="str">
        <f>_xlfn.IFNA(_xlfn.XLOOKUP(B28,'12-Month Cash Flow Statement'!$AD$23:$AD$30,'12-Month Cash Flow Statement'!$AC$23:$AC$30),"")</f>
        <v/>
      </c>
      <c r="D28" s="36"/>
      <c r="E28" s="36"/>
      <c r="F28" s="36"/>
      <c r="G28" s="36"/>
      <c r="H28" s="36"/>
      <c r="I28" s="36"/>
      <c r="J28" s="1"/>
      <c r="K28" s="1"/>
      <c r="L28" s="1"/>
    </row>
    <row r="29" spans="2:12" x14ac:dyDescent="0.3">
      <c r="B29" s="25"/>
      <c r="C29" s="34" t="str">
        <f>_xlfn.IFNA(_xlfn.XLOOKUP(B29,'12-Month Cash Flow Statement'!$AD$23:$AD$30,'12-Month Cash Flow Statement'!$AC$23:$AC$30),"")</f>
        <v/>
      </c>
      <c r="D29" s="36"/>
      <c r="E29" s="36"/>
      <c r="F29" s="36"/>
      <c r="G29" s="36"/>
      <c r="H29" s="36"/>
      <c r="I29" s="36"/>
    </row>
    <row r="30" spans="2:12" x14ac:dyDescent="0.3">
      <c r="B30" s="25"/>
      <c r="C30" s="34" t="str">
        <f>_xlfn.IFNA(_xlfn.XLOOKUP(B30,'12-Month Cash Flow Statement'!$AD$23:$AD$30,'12-Month Cash Flow Statement'!$AC$23:$AC$30),"")</f>
        <v/>
      </c>
      <c r="D30" s="36"/>
      <c r="E30" s="36"/>
      <c r="F30" s="36"/>
      <c r="G30" s="36"/>
      <c r="H30" s="36"/>
      <c r="I30" s="36"/>
    </row>
    <row r="31" spans="2:12" x14ac:dyDescent="0.3">
      <c r="B31" s="25"/>
      <c r="C31" s="34" t="str">
        <f>_xlfn.IFNA(_xlfn.XLOOKUP(B31,'12-Month Cash Flow Statement'!$AD$23:$AD$30,'12-Month Cash Flow Statement'!$AC$23:$AC$30),"")</f>
        <v/>
      </c>
      <c r="D31" s="36"/>
      <c r="E31" s="36"/>
      <c r="F31" s="36"/>
      <c r="G31" s="36"/>
      <c r="H31" s="36"/>
      <c r="I31" s="36"/>
    </row>
    <row r="32" spans="2:12" x14ac:dyDescent="0.3">
      <c r="B32" s="25"/>
      <c r="C32" s="34" t="str">
        <f>_xlfn.IFNA(_xlfn.XLOOKUP(B32,'12-Month Cash Flow Statement'!$AD$23:$AD$30,'12-Month Cash Flow Statement'!$AC$23:$AC$30),"")</f>
        <v/>
      </c>
      <c r="D32" s="36"/>
      <c r="E32" s="36"/>
      <c r="F32" s="36"/>
      <c r="G32" s="36"/>
      <c r="H32" s="36"/>
      <c r="I32" s="36"/>
    </row>
    <row r="33" spans="2:9" x14ac:dyDescent="0.3">
      <c r="B33" s="25"/>
      <c r="C33" s="34" t="str">
        <f>_xlfn.IFNA(_xlfn.XLOOKUP(B33,'12-Month Cash Flow Statement'!$AD$23:$AD$30,'12-Month Cash Flow Statement'!$AC$23:$AC$30),"")</f>
        <v/>
      </c>
      <c r="D33" s="36"/>
      <c r="E33" s="36"/>
      <c r="F33" s="36"/>
      <c r="G33" s="36"/>
      <c r="H33" s="36"/>
      <c r="I33" s="36"/>
    </row>
    <row r="34" spans="2:9" x14ac:dyDescent="0.3">
      <c r="B34" s="25"/>
      <c r="C34" s="34" t="str">
        <f>_xlfn.IFNA(_xlfn.XLOOKUP(B34,'12-Month Cash Flow Statement'!$AD$23:$AD$30,'12-Month Cash Flow Statement'!$AC$23:$AC$30),"")</f>
        <v/>
      </c>
      <c r="D34" s="36"/>
      <c r="E34" s="36"/>
      <c r="F34" s="36"/>
      <c r="G34" s="36"/>
      <c r="H34" s="36"/>
      <c r="I34" s="36"/>
    </row>
    <row r="45" spans="2:9" x14ac:dyDescent="0.3">
      <c r="B45" s="39" t="s">
        <v>42</v>
      </c>
    </row>
    <row r="46" spans="2:9" s="39" customFormat="1" x14ac:dyDescent="0.3">
      <c r="B46" s="39" t="s">
        <v>41</v>
      </c>
    </row>
    <row r="48" spans="2:9" x14ac:dyDescent="0.3">
      <c r="B48" s="27" t="s">
        <v>44</v>
      </c>
      <c r="C48" s="27"/>
      <c r="D48" s="27"/>
      <c r="E48" s="27"/>
    </row>
    <row r="49" spans="2:7" x14ac:dyDescent="0.3">
      <c r="B49" s="27" t="s">
        <v>43</v>
      </c>
      <c r="C49" s="27"/>
      <c r="D49" s="27"/>
      <c r="E49" s="27"/>
    </row>
    <row r="50" spans="2:7" x14ac:dyDescent="0.3">
      <c r="B50" s="27" t="s">
        <v>38</v>
      </c>
      <c r="C50" s="27"/>
      <c r="D50" s="27"/>
      <c r="E50" s="27"/>
    </row>
    <row r="51" spans="2:7" x14ac:dyDescent="0.3">
      <c r="B51" s="27" t="s">
        <v>39</v>
      </c>
      <c r="C51" s="27"/>
      <c r="D51" s="27"/>
      <c r="E51" s="27"/>
      <c r="F51" s="39"/>
      <c r="G51" s="39"/>
    </row>
    <row r="52" spans="2:7" x14ac:dyDescent="0.3">
      <c r="B52" s="27" t="s">
        <v>40</v>
      </c>
      <c r="C52" s="27"/>
      <c r="D52" s="27"/>
      <c r="E52" s="27"/>
    </row>
  </sheetData>
  <mergeCells count="7">
    <mergeCell ref="D19:F19"/>
    <mergeCell ref="G19:H19"/>
    <mergeCell ref="B1:H1"/>
    <mergeCell ref="B2:G2"/>
    <mergeCell ref="I2:J2"/>
    <mergeCell ref="D3:F3"/>
    <mergeCell ref="G3:H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13B80-8F66-48BB-B0ED-90B14160C699}">
  <sheetPr>
    <tabColor theme="2" tint="-9.9978637043366805E-2"/>
    <pageSetUpPr autoPageBreaks="0"/>
  </sheetPr>
  <dimension ref="A1:AF44"/>
  <sheetViews>
    <sheetView showGridLines="0" showRowColHeaders="0" zoomScaleNormal="100" zoomScaleSheetLayoutView="53" workbookViewId="0">
      <pane xSplit="8" ySplit="9" topLeftCell="I10" activePane="bottomRight" state="frozen"/>
      <selection pane="topRight" activeCell="I1" sqref="I1"/>
      <selection pane="bottomLeft" activeCell="A7" sqref="A7"/>
      <selection pane="bottomRight" activeCell="I35" sqref="I35"/>
    </sheetView>
  </sheetViews>
  <sheetFormatPr defaultColWidth="9.109375" defaultRowHeight="10.5" customHeight="1" x14ac:dyDescent="0.3"/>
  <cols>
    <col min="1" max="1" width="3.21875" style="4" customWidth="1"/>
    <col min="2" max="2" width="3.109375" style="4" customWidth="1"/>
    <col min="3" max="4" width="6.21875" style="4" customWidth="1"/>
    <col min="5" max="5" width="8.33203125" style="4" customWidth="1"/>
    <col min="6" max="6" width="6.21875" style="4" customWidth="1"/>
    <col min="7" max="7" width="8.88671875" style="4" customWidth="1"/>
    <col min="8" max="8" width="3" style="4" customWidth="1"/>
    <col min="9" max="26" width="7.6640625" style="4" customWidth="1"/>
    <col min="27" max="27" width="3" style="4" customWidth="1"/>
    <col min="28" max="28" width="9.33203125" style="4" bestFit="1" customWidth="1"/>
    <col min="29" max="16384" width="9.109375" style="4"/>
  </cols>
  <sheetData>
    <row r="1" spans="1:31" ht="18" x14ac:dyDescent="0.3">
      <c r="B1" s="23" t="s">
        <v>28</v>
      </c>
    </row>
    <row r="2" spans="1:31" ht="15.6" x14ac:dyDescent="0.3">
      <c r="B2" s="22"/>
    </row>
    <row r="7" spans="1:31" s="19" customFormat="1" ht="10.8" thickBot="1" x14ac:dyDescent="0.35">
      <c r="B7" s="20" t="s">
        <v>27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B7" s="54" t="s">
        <v>26</v>
      </c>
      <c r="AC7" s="32">
        <f>'Cashflow Dashboard'!J1</f>
        <v>46053</v>
      </c>
    </row>
    <row r="8" spans="1:31" s="19" customFormat="1" ht="10.8" thickBot="1" x14ac:dyDescent="0.35">
      <c r="B8" s="20" t="s">
        <v>25</v>
      </c>
      <c r="I8" s="37">
        <v>45626</v>
      </c>
      <c r="J8" s="41">
        <f>EOMONTH(I8,1)</f>
        <v>45657</v>
      </c>
      <c r="K8" s="41">
        <f t="shared" ref="K8:Z8" si="0">EOMONTH(J8,1)</f>
        <v>45688</v>
      </c>
      <c r="L8" s="41">
        <f t="shared" si="0"/>
        <v>45716</v>
      </c>
      <c r="M8" s="41">
        <f t="shared" si="0"/>
        <v>45747</v>
      </c>
      <c r="N8" s="41">
        <f t="shared" si="0"/>
        <v>45777</v>
      </c>
      <c r="O8" s="41">
        <f t="shared" si="0"/>
        <v>45808</v>
      </c>
      <c r="P8" s="41">
        <f t="shared" si="0"/>
        <v>45838</v>
      </c>
      <c r="Q8" s="41">
        <f t="shared" si="0"/>
        <v>45869</v>
      </c>
      <c r="R8" s="41">
        <f t="shared" si="0"/>
        <v>45900</v>
      </c>
      <c r="S8" s="41">
        <f t="shared" si="0"/>
        <v>45930</v>
      </c>
      <c r="T8" s="41">
        <f t="shared" si="0"/>
        <v>45961</v>
      </c>
      <c r="U8" s="41">
        <f t="shared" si="0"/>
        <v>45991</v>
      </c>
      <c r="V8" s="41">
        <f t="shared" si="0"/>
        <v>46022</v>
      </c>
      <c r="W8" s="41">
        <f t="shared" si="0"/>
        <v>46053</v>
      </c>
      <c r="X8" s="41">
        <f t="shared" si="0"/>
        <v>46081</v>
      </c>
      <c r="Y8" s="41">
        <f t="shared" si="0"/>
        <v>46112</v>
      </c>
      <c r="Z8" s="41">
        <f t="shared" si="0"/>
        <v>46142</v>
      </c>
      <c r="AB8" s="54"/>
      <c r="AE8" s="21"/>
    </row>
    <row r="9" spans="1:31" s="19" customFormat="1" ht="10.199999999999999" x14ac:dyDescent="0.3">
      <c r="B9" s="20" t="s">
        <v>24</v>
      </c>
      <c r="I9" s="19">
        <f>YEAR(I8)</f>
        <v>2024</v>
      </c>
      <c r="J9" s="19">
        <f t="shared" ref="J9:S9" si="1">YEAR(J8)</f>
        <v>2024</v>
      </c>
      <c r="K9" s="19">
        <f t="shared" si="1"/>
        <v>2025</v>
      </c>
      <c r="L9" s="19">
        <f t="shared" si="1"/>
        <v>2025</v>
      </c>
      <c r="M9" s="19">
        <f t="shared" si="1"/>
        <v>2025</v>
      </c>
      <c r="N9" s="19">
        <f t="shared" si="1"/>
        <v>2025</v>
      </c>
      <c r="O9" s="19">
        <f t="shared" si="1"/>
        <v>2025</v>
      </c>
      <c r="P9" s="19">
        <f t="shared" si="1"/>
        <v>2025</v>
      </c>
      <c r="Q9" s="19">
        <f t="shared" si="1"/>
        <v>2025</v>
      </c>
      <c r="R9" s="19">
        <f t="shared" si="1"/>
        <v>2025</v>
      </c>
      <c r="S9" s="19">
        <f t="shared" si="1"/>
        <v>2025</v>
      </c>
      <c r="T9" s="19">
        <f>YEAR(T8)</f>
        <v>2025</v>
      </c>
      <c r="U9" s="19">
        <f t="shared" ref="U9:Z9" si="2">YEAR(U8)</f>
        <v>2025</v>
      </c>
      <c r="V9" s="19">
        <f t="shared" si="2"/>
        <v>2025</v>
      </c>
      <c r="W9" s="19">
        <f t="shared" si="2"/>
        <v>2026</v>
      </c>
      <c r="X9" s="19">
        <f t="shared" si="2"/>
        <v>2026</v>
      </c>
      <c r="Y9" s="19">
        <f t="shared" si="2"/>
        <v>2026</v>
      </c>
      <c r="Z9" s="19">
        <f t="shared" si="2"/>
        <v>2026</v>
      </c>
      <c r="AB9" s="54"/>
    </row>
    <row r="10" spans="1:31" ht="2.1" customHeight="1" x14ac:dyDescent="0.3">
      <c r="A10" s="18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31" ht="14.1" customHeight="1" x14ac:dyDescent="0.3">
      <c r="B11" s="8" t="s">
        <v>23</v>
      </c>
      <c r="C11" s="16"/>
    </row>
    <row r="12" spans="1:31" ht="14.1" customHeight="1" x14ac:dyDescent="0.3">
      <c r="B12" s="7"/>
      <c r="C12" s="53" t="s">
        <v>22</v>
      </c>
      <c r="D12" s="53"/>
      <c r="E12" s="53"/>
      <c r="F12" s="53"/>
      <c r="G12" s="53"/>
      <c r="I12" s="42">
        <v>6230</v>
      </c>
      <c r="J12" s="42">
        <v>6541.5</v>
      </c>
      <c r="K12" s="42">
        <v>6868.5749999999998</v>
      </c>
      <c r="L12" s="42">
        <v>7212.0037500000008</v>
      </c>
      <c r="M12" s="42">
        <v>7572.6039375000009</v>
      </c>
      <c r="N12" s="42">
        <v>7951.2341343750013</v>
      </c>
      <c r="O12" s="29">
        <f>FORECAST(O$8,$I12:N12,$I$8:N$8)</f>
        <v>8276.4682256202796</v>
      </c>
      <c r="P12" s="29">
        <f>FORECAST(P$8,$I12:O12,$I$8:O$8)</f>
        <v>8619.4615944670513</v>
      </c>
      <c r="Q12" s="29">
        <f>FORECAST(Q$8,$I12:P12,$I$8:P$8)</f>
        <v>8973.8880756087601</v>
      </c>
      <c r="R12" s="29">
        <f>FORECAST(R$8,$I12:Q12,$I$8:Q$8)</f>
        <v>9328.3145567503525</v>
      </c>
      <c r="S12" s="29">
        <f>FORECAST(S$8,$I12:R12,$I$8:R$8)</f>
        <v>9671.3079255972407</v>
      </c>
      <c r="T12" s="29">
        <f>FORECAST(T$8,$I12:S12,$I$8:S$8)</f>
        <v>10025.734406738775</v>
      </c>
      <c r="U12" s="29">
        <f>FORECAST(U$8,$I12:T12,$I$8:T$8)</f>
        <v>10368.727775585605</v>
      </c>
      <c r="V12" s="29">
        <f>FORECAST(V$8,$I12:U12,$I$8:U$8)</f>
        <v>10723.154256727255</v>
      </c>
      <c r="W12" s="29">
        <f>FORECAST(W$8,$I12:V12,$I$8:V$8)</f>
        <v>11077.580737868964</v>
      </c>
      <c r="X12" s="29">
        <f>FORECAST(X$8,$I12:W12,$I$8:W$8)</f>
        <v>11397.707882125862</v>
      </c>
      <c r="Y12" s="29">
        <f>FORECAST(Y$8,$I12:X12,$I$8:X$8)</f>
        <v>11752.134363267629</v>
      </c>
      <c r="Z12" s="29">
        <f>FORECAST(Z$8,$I12:Y12,$I$8:Y$8)</f>
        <v>12095.127732114401</v>
      </c>
      <c r="AB12" s="12">
        <f>SUM(O12:Z12)</f>
        <v>122309.60753247218</v>
      </c>
      <c r="AC12" s="28">
        <f>IFERROR(_xlfn.XLOOKUP($AC$7,$O$8:$Z$8,O12:Z12),"")</f>
        <v>11077.580737868964</v>
      </c>
      <c r="AD12" s="28" t="str">
        <f>IF(ABS(AC12)&gt;0,C12,"")</f>
        <v>Revenue</v>
      </c>
    </row>
    <row r="13" spans="1:31" ht="14.1" customHeight="1" x14ac:dyDescent="0.3">
      <c r="B13" s="7"/>
      <c r="C13" s="53" t="s">
        <v>21</v>
      </c>
      <c r="D13" s="53"/>
      <c r="E13" s="53"/>
      <c r="F13" s="53"/>
      <c r="G13" s="53"/>
      <c r="I13" s="42">
        <v>70</v>
      </c>
      <c r="J13" s="42">
        <v>81.900000000000006</v>
      </c>
      <c r="K13" s="42">
        <v>77.805000000000007</v>
      </c>
      <c r="L13" s="42">
        <v>111.26115000000001</v>
      </c>
      <c r="M13" s="42">
        <v>151.31516400000001</v>
      </c>
      <c r="N13" s="42">
        <v>177.03874188</v>
      </c>
      <c r="O13" s="29">
        <f>FORECAST(O$8,$I13:N13,$I$8:N$8)</f>
        <v>189.70006507997459</v>
      </c>
      <c r="P13" s="29">
        <f>FORECAST(P$8,$I13:O13,$I$8:O$8)</f>
        <v>211.78234143475129</v>
      </c>
      <c r="Q13" s="29">
        <f>FORECAST(Q$8,$I13:P13,$I$8:P$8)</f>
        <v>234.60069366802782</v>
      </c>
      <c r="R13" s="29">
        <f>FORECAST(R$8,$I13:Q13,$I$8:Q$8)</f>
        <v>257.41904590129707</v>
      </c>
      <c r="S13" s="29">
        <f>FORECAST(S$8,$I13:R13,$I$8:R$8)</f>
        <v>279.50132225608104</v>
      </c>
      <c r="T13" s="29">
        <f>FORECAST(T$8,$I13:S13,$I$8:S$8)</f>
        <v>302.31967448935757</v>
      </c>
      <c r="U13" s="29">
        <f>FORECAST(U$8,$I13:T13,$I$8:T$8)</f>
        <v>324.40195084413426</v>
      </c>
      <c r="V13" s="29">
        <f>FORECAST(V$8,$I13:U13,$I$8:U$8)</f>
        <v>347.22030307740351</v>
      </c>
      <c r="W13" s="29">
        <f>FORECAST(W$8,$I13:V13,$I$8:V$8)</f>
        <v>370.03865531068004</v>
      </c>
      <c r="X13" s="29">
        <f>FORECAST(X$8,$I13:W13,$I$8:W$8)</f>
        <v>390.6487799084789</v>
      </c>
      <c r="Y13" s="29">
        <f>FORECAST(Y$8,$I13:X13,$I$8:X$8)</f>
        <v>413.46713214174815</v>
      </c>
      <c r="Z13" s="29">
        <f>FORECAST(Z$8,$I13:Y13,$I$8:Y$8)</f>
        <v>435.54940849652485</v>
      </c>
      <c r="AB13" s="12">
        <f t="shared" ref="AB13:AB19" si="3">SUM(O13:Z13)</f>
        <v>3756.6493726084591</v>
      </c>
      <c r="AC13" s="28">
        <f>IFERROR(_xlfn.XLOOKUP($AC$7,$O$8:$Z$8,O13:Z13),"")</f>
        <v>370.03865531068004</v>
      </c>
      <c r="AD13" s="28" t="str">
        <f t="shared" ref="AD13:AD30" si="4">IF(ABS(AC13)&gt;0,C13,"")</f>
        <v>Other Operations</v>
      </c>
    </row>
    <row r="14" spans="1:31" ht="14.1" customHeight="1" x14ac:dyDescent="0.3">
      <c r="B14" s="7"/>
      <c r="C14" s="53" t="s">
        <v>20</v>
      </c>
      <c r="D14" s="53"/>
      <c r="E14" s="53"/>
      <c r="F14" s="53"/>
      <c r="G14" s="53"/>
      <c r="I14" s="42">
        <v>270</v>
      </c>
      <c r="J14" s="42">
        <v>283.5</v>
      </c>
      <c r="K14" s="42">
        <v>297.67500000000001</v>
      </c>
      <c r="L14" s="42">
        <v>312.55875000000003</v>
      </c>
      <c r="M14" s="42">
        <v>328.18668750000006</v>
      </c>
      <c r="N14" s="42">
        <v>344.59602187500008</v>
      </c>
      <c r="O14" s="29">
        <f>FORECAST(O$8,$I14:N14,$I$8:N$8)</f>
        <v>358.69123931259674</v>
      </c>
      <c r="P14" s="29">
        <f>FORECAST(P$8,$I14:O14,$I$8:O$8)</f>
        <v>373.55612046647002</v>
      </c>
      <c r="Q14" s="29">
        <f>FORECAST(Q$8,$I14:P14,$I$8:P$8)</f>
        <v>388.9164976588072</v>
      </c>
      <c r="R14" s="29">
        <f>FORECAST(R$8,$I14:Q14,$I$8:Q$8)</f>
        <v>404.27687485114075</v>
      </c>
      <c r="S14" s="29">
        <f>FORECAST(S$8,$I14:R14,$I$8:R$8)</f>
        <v>419.14175600501767</v>
      </c>
      <c r="T14" s="29">
        <f>FORECAST(T$8,$I14:S14,$I$8:S$8)</f>
        <v>434.50213319734758</v>
      </c>
      <c r="U14" s="29">
        <f>FORECAST(U$8,$I14:T14,$I$8:T$8)</f>
        <v>449.3670143512245</v>
      </c>
      <c r="V14" s="29">
        <f>FORECAST(V$8,$I14:U14,$I$8:U$8)</f>
        <v>464.72739154355804</v>
      </c>
      <c r="W14" s="29">
        <f>FORECAST(W$8,$I14:V14,$I$8:V$8)</f>
        <v>480.08776873589522</v>
      </c>
      <c r="X14" s="29">
        <f>FORECAST(X$8,$I14:W14,$I$8:W$8)</f>
        <v>493.96165781284071</v>
      </c>
      <c r="Y14" s="29">
        <f>FORECAST(Y$8,$I14:X14,$I$8:X$8)</f>
        <v>509.3220350051779</v>
      </c>
      <c r="Z14" s="29">
        <f>FORECAST(Z$8,$I14:Y14,$I$8:Y$8)</f>
        <v>524.18691615905482</v>
      </c>
      <c r="AB14" s="12">
        <f t="shared" si="3"/>
        <v>5300.7374050991311</v>
      </c>
      <c r="AC14" s="28">
        <f t="shared" ref="AC14:AC36" si="5">IFERROR(_xlfn.XLOOKUP($AC$7,$O$8:$Z$8,O14:Z14),"")</f>
        <v>480.08776873589522</v>
      </c>
      <c r="AD14" s="28" t="str">
        <f t="shared" si="4"/>
        <v>Sale of Property and Equipment</v>
      </c>
    </row>
    <row r="15" spans="1:31" ht="14.1" customHeight="1" x14ac:dyDescent="0.3">
      <c r="B15" s="7"/>
      <c r="C15" s="53" t="s">
        <v>19</v>
      </c>
      <c r="D15" s="53"/>
      <c r="E15" s="53"/>
      <c r="F15" s="53"/>
      <c r="G15" s="53"/>
      <c r="I15" s="42">
        <v>300</v>
      </c>
      <c r="J15" s="42">
        <v>315</v>
      </c>
      <c r="K15" s="42">
        <v>330.75</v>
      </c>
      <c r="L15" s="42">
        <v>347.28750000000002</v>
      </c>
      <c r="M15" s="42">
        <v>364.65187500000002</v>
      </c>
      <c r="N15" s="42">
        <v>382.88446875000005</v>
      </c>
      <c r="O15" s="29">
        <f>FORECAST(O$8,$I15:N15,$I$8:N$8)</f>
        <v>398.5458214584396</v>
      </c>
      <c r="P15" s="29">
        <f>FORECAST(P$8,$I15:O15,$I$8:O$8)</f>
        <v>415.06235607385315</v>
      </c>
      <c r="Q15" s="29">
        <f>FORECAST(Q$8,$I15:P15,$I$8:P$8)</f>
        <v>432.12944184311709</v>
      </c>
      <c r="R15" s="29">
        <f>FORECAST(R$8,$I15:Q15,$I$8:Q$8)</f>
        <v>449.19652761237739</v>
      </c>
      <c r="S15" s="29">
        <f>FORECAST(S$8,$I15:R15,$I$8:R$8)</f>
        <v>465.71306222779094</v>
      </c>
      <c r="T15" s="29">
        <f>FORECAST(T$8,$I15:S15,$I$8:S$8)</f>
        <v>482.78014799705488</v>
      </c>
      <c r="U15" s="29">
        <f>FORECAST(U$8,$I15:T15,$I$8:T$8)</f>
        <v>499.29668261246843</v>
      </c>
      <c r="V15" s="29">
        <f>FORECAST(V$8,$I15:U15,$I$8:U$8)</f>
        <v>516.36376838172873</v>
      </c>
      <c r="W15" s="29">
        <f>FORECAST(W$8,$I15:V15,$I$8:V$8)</f>
        <v>533.43085415099631</v>
      </c>
      <c r="X15" s="29">
        <f>FORECAST(X$8,$I15:W15,$I$8:W$8)</f>
        <v>548.84628645871271</v>
      </c>
      <c r="Y15" s="29">
        <f>FORECAST(Y$8,$I15:X15,$I$8:X$8)</f>
        <v>565.91337222797301</v>
      </c>
      <c r="Z15" s="29">
        <f>FORECAST(Z$8,$I15:Y15,$I$8:Y$8)</f>
        <v>582.4299068433902</v>
      </c>
      <c r="AB15" s="12">
        <f t="shared" si="3"/>
        <v>5889.7082278879025</v>
      </c>
      <c r="AC15" s="28">
        <f t="shared" si="5"/>
        <v>533.43085415099631</v>
      </c>
      <c r="AD15" s="28" t="str">
        <f t="shared" si="4"/>
        <v>Collection of Principal on Loans</v>
      </c>
    </row>
    <row r="16" spans="1:31" ht="14.1" customHeight="1" x14ac:dyDescent="0.3">
      <c r="B16" s="7"/>
      <c r="C16" s="53" t="s">
        <v>18</v>
      </c>
      <c r="D16" s="53"/>
      <c r="E16" s="53"/>
      <c r="F16" s="53"/>
      <c r="G16" s="53"/>
      <c r="I16" s="42">
        <v>400</v>
      </c>
      <c r="J16" s="42">
        <v>512</v>
      </c>
      <c r="K16" s="42">
        <v>701.44</v>
      </c>
      <c r="L16" s="42">
        <v>799.64160000000004</v>
      </c>
      <c r="M16" s="42">
        <v>943.57708800000012</v>
      </c>
      <c r="N16" s="42">
        <v>820.91206656000008</v>
      </c>
      <c r="O16" s="29">
        <f>FORECAST(O$8,$I16:N16,$I$8:N$8)</f>
        <v>1049.1522880030097</v>
      </c>
      <c r="P16" s="29">
        <f>FORECAST(P$8,$I16:O16,$I$8:O$8)</f>
        <v>1148.8701674437034</v>
      </c>
      <c r="Q16" s="29">
        <f>FORECAST(Q$8,$I16:P16,$I$8:P$8)</f>
        <v>1251.9119761991315</v>
      </c>
      <c r="R16" s="29">
        <f>FORECAST(R$8,$I16:Q16,$I$8:Q$8)</f>
        <v>1354.9537849545595</v>
      </c>
      <c r="S16" s="29">
        <f>FORECAST(S$8,$I16:R16,$I$8:R$8)</f>
        <v>1454.6716643952823</v>
      </c>
      <c r="T16" s="29">
        <f>FORECAST(T$8,$I16:S16,$I$8:S$8)</f>
        <v>1557.7134731506812</v>
      </c>
      <c r="U16" s="29">
        <f>FORECAST(U$8,$I16:T16,$I$8:T$8)</f>
        <v>1657.4313525913749</v>
      </c>
      <c r="V16" s="29">
        <f>FORECAST(V$8,$I16:U16,$I$8:U$8)</f>
        <v>1760.473161346803</v>
      </c>
      <c r="W16" s="29">
        <f>FORECAST(W$8,$I16:V16,$I$8:V$8)</f>
        <v>1863.514970102231</v>
      </c>
      <c r="X16" s="29">
        <f>FORECAST(X$8,$I16:W16,$I$8:W$8)</f>
        <v>1956.5849909135723</v>
      </c>
      <c r="Y16" s="29">
        <f>FORECAST(Y$8,$I16:X16,$I$8:X$8)</f>
        <v>2059.6267996689712</v>
      </c>
      <c r="Z16" s="29">
        <f>FORECAST(Z$8,$I16:Y16,$I$8:Y$8)</f>
        <v>2159.344679109694</v>
      </c>
      <c r="AB16" s="12">
        <f t="shared" si="3"/>
        <v>19274.249307879014</v>
      </c>
      <c r="AC16" s="28">
        <f t="shared" si="5"/>
        <v>1863.514970102231</v>
      </c>
      <c r="AD16" s="28" t="str">
        <f t="shared" si="4"/>
        <v>Sale of Investment Securities</v>
      </c>
    </row>
    <row r="17" spans="2:30" ht="14.1" customHeight="1" x14ac:dyDescent="0.3">
      <c r="B17" s="7"/>
      <c r="C17" s="53" t="s">
        <v>17</v>
      </c>
      <c r="D17" s="53"/>
      <c r="E17" s="53"/>
      <c r="F17" s="53"/>
      <c r="G17" s="53"/>
      <c r="I17" s="42">
        <v>270</v>
      </c>
      <c r="J17" s="42">
        <v>283.5</v>
      </c>
      <c r="K17" s="42">
        <v>297.67500000000001</v>
      </c>
      <c r="L17" s="42">
        <v>312.55875000000003</v>
      </c>
      <c r="M17" s="42">
        <v>328.18668750000006</v>
      </c>
      <c r="N17" s="42">
        <v>344.59602187500008</v>
      </c>
      <c r="O17" s="29">
        <f>FORECAST(O$8,$I17:N17,$I$8:N$8)</f>
        <v>358.69123931259674</v>
      </c>
      <c r="P17" s="29">
        <f>FORECAST(P$8,$I17:O17,$I$8:O$8)</f>
        <v>373.55612046647002</v>
      </c>
      <c r="Q17" s="29">
        <f>FORECAST(Q$8,$I17:P17,$I$8:P$8)</f>
        <v>388.9164976588072</v>
      </c>
      <c r="R17" s="29">
        <f>FORECAST(R$8,$I17:Q17,$I$8:Q$8)</f>
        <v>404.27687485114075</v>
      </c>
      <c r="S17" s="29">
        <f>FORECAST(S$8,$I17:R17,$I$8:R$8)</f>
        <v>419.14175600501767</v>
      </c>
      <c r="T17" s="29">
        <f>FORECAST(T$8,$I17:S17,$I$8:S$8)</f>
        <v>434.50213319734758</v>
      </c>
      <c r="U17" s="29">
        <f>FORECAST(U$8,$I17:T17,$I$8:T$8)</f>
        <v>449.3670143512245</v>
      </c>
      <c r="V17" s="29">
        <f>FORECAST(V$8,$I17:U17,$I$8:U$8)</f>
        <v>464.72739154355804</v>
      </c>
      <c r="W17" s="29">
        <f>FORECAST(W$8,$I17:V17,$I$8:V$8)</f>
        <v>480.08776873589522</v>
      </c>
      <c r="X17" s="29">
        <f>FORECAST(X$8,$I17:W17,$I$8:W$8)</f>
        <v>493.96165781284071</v>
      </c>
      <c r="Y17" s="29">
        <f>FORECAST(Y$8,$I17:X17,$I$8:X$8)</f>
        <v>509.3220350051779</v>
      </c>
      <c r="Z17" s="29">
        <f>FORECAST(Z$8,$I17:Y17,$I$8:Y$8)</f>
        <v>524.18691615905482</v>
      </c>
      <c r="AB17" s="12">
        <f t="shared" si="3"/>
        <v>5300.7374050991311</v>
      </c>
      <c r="AC17" s="28">
        <f t="shared" si="5"/>
        <v>480.08776873589522</v>
      </c>
      <c r="AD17" s="28" t="str">
        <f t="shared" si="4"/>
        <v>Issuance of Stock</v>
      </c>
    </row>
    <row r="18" spans="2:30" ht="14.1" customHeight="1" x14ac:dyDescent="0.3">
      <c r="B18" s="7"/>
      <c r="C18" s="53" t="s">
        <v>16</v>
      </c>
      <c r="D18" s="53"/>
      <c r="E18" s="53"/>
      <c r="F18" s="53"/>
      <c r="G18" s="53"/>
      <c r="I18" s="42">
        <v>300</v>
      </c>
      <c r="J18" s="42">
        <v>315</v>
      </c>
      <c r="K18" s="42">
        <v>330.75</v>
      </c>
      <c r="L18" s="42">
        <v>347.28750000000002</v>
      </c>
      <c r="M18" s="42">
        <v>364.65187500000002</v>
      </c>
      <c r="N18" s="42">
        <v>382.88446875000005</v>
      </c>
      <c r="O18" s="29">
        <f>FORECAST(O$8,$I18:N18,$I$8:N$8)</f>
        <v>398.5458214584396</v>
      </c>
      <c r="P18" s="29">
        <f>FORECAST(P$8,$I18:O18,$I$8:O$8)</f>
        <v>415.06235607385315</v>
      </c>
      <c r="Q18" s="29">
        <f>FORECAST(Q$8,$I18:P18,$I$8:P$8)</f>
        <v>432.12944184311709</v>
      </c>
      <c r="R18" s="29">
        <f>FORECAST(R$8,$I18:Q18,$I$8:Q$8)</f>
        <v>449.19652761237739</v>
      </c>
      <c r="S18" s="29">
        <f>FORECAST(S$8,$I18:R18,$I$8:R$8)</f>
        <v>465.71306222779094</v>
      </c>
      <c r="T18" s="29">
        <f>FORECAST(T$8,$I18:S18,$I$8:S$8)</f>
        <v>482.78014799705488</v>
      </c>
      <c r="U18" s="29">
        <f>FORECAST(U$8,$I18:T18,$I$8:T$8)</f>
        <v>499.29668261246843</v>
      </c>
      <c r="V18" s="29">
        <f>FORECAST(V$8,$I18:U18,$I$8:U$8)</f>
        <v>516.36376838172873</v>
      </c>
      <c r="W18" s="29">
        <f>FORECAST(W$8,$I18:V18,$I$8:V$8)</f>
        <v>533.43085415099631</v>
      </c>
      <c r="X18" s="29">
        <f>FORECAST(X$8,$I18:W18,$I$8:W$8)</f>
        <v>548.84628645871271</v>
      </c>
      <c r="Y18" s="29">
        <f>FORECAST(Y$8,$I18:X18,$I$8:X$8)</f>
        <v>565.91337222797301</v>
      </c>
      <c r="Z18" s="29">
        <f>FORECAST(Z$8,$I18:Y18,$I$8:Y$8)</f>
        <v>582.4299068433902</v>
      </c>
      <c r="AB18" s="12">
        <f t="shared" si="3"/>
        <v>5889.7082278879025</v>
      </c>
      <c r="AC18" s="28">
        <f t="shared" si="5"/>
        <v>533.43085415099631</v>
      </c>
      <c r="AD18" s="28" t="str">
        <f t="shared" si="4"/>
        <v>Borrowing</v>
      </c>
    </row>
    <row r="19" spans="2:30" ht="14.1" customHeight="1" x14ac:dyDescent="0.3">
      <c r="B19" s="7"/>
      <c r="C19" s="53" t="s">
        <v>15</v>
      </c>
      <c r="D19" s="53"/>
      <c r="E19" s="53"/>
      <c r="F19" s="53"/>
      <c r="G19" s="53"/>
      <c r="I19" s="43">
        <v>200</v>
      </c>
      <c r="J19" s="43">
        <v>210</v>
      </c>
      <c r="K19" s="43">
        <v>220.5</v>
      </c>
      <c r="L19" s="43">
        <v>231.52500000000001</v>
      </c>
      <c r="M19" s="43">
        <v>243.10125000000002</v>
      </c>
      <c r="N19" s="43">
        <v>255.25631250000004</v>
      </c>
      <c r="O19" s="30">
        <f>FORECAST(O$8,$I19:N19,$I$8:N$8)</f>
        <v>265.6972143056264</v>
      </c>
      <c r="P19" s="30">
        <f>FORECAST(P$8,$I19:O19,$I$8:O$8)</f>
        <v>276.70823738256877</v>
      </c>
      <c r="Q19" s="30">
        <f>FORECAST(Q$8,$I19:P19,$I$8:P$8)</f>
        <v>288.08629456207927</v>
      </c>
      <c r="R19" s="30">
        <f>FORECAST(R$8,$I19:Q19,$I$8:Q$8)</f>
        <v>299.46435174158614</v>
      </c>
      <c r="S19" s="30">
        <f>FORECAST(S$8,$I19:R19,$I$8:R$8)</f>
        <v>310.47537481853215</v>
      </c>
      <c r="T19" s="30">
        <f>FORECAST(T$8,$I19:S19,$I$8:S$8)</f>
        <v>321.85343199803538</v>
      </c>
      <c r="U19" s="30">
        <f>FORECAST(U$8,$I19:T19,$I$8:T$8)</f>
        <v>332.86445507497774</v>
      </c>
      <c r="V19" s="30">
        <f>FORECAST(V$8,$I19:U19,$I$8:U$8)</f>
        <v>344.24251225448461</v>
      </c>
      <c r="W19" s="30">
        <f>FORECAST(W$8,$I19:V19,$I$8:V$8)</f>
        <v>355.62056943399875</v>
      </c>
      <c r="X19" s="30">
        <f>FORECAST(X$8,$I19:W19,$I$8:W$8)</f>
        <v>365.89752430581211</v>
      </c>
      <c r="Y19" s="30">
        <f>FORECAST(Y$8,$I19:X19,$I$8:X$8)</f>
        <v>377.27558148531898</v>
      </c>
      <c r="Z19" s="30">
        <f>FORECAST(Z$8,$I19:Y19,$I$8:Y$8)</f>
        <v>388.28660456226135</v>
      </c>
      <c r="AB19" s="15">
        <f t="shared" si="3"/>
        <v>3926.4721519252817</v>
      </c>
      <c r="AC19" s="28">
        <f t="shared" si="5"/>
        <v>355.62056943399875</v>
      </c>
      <c r="AD19" s="28" t="str">
        <f t="shared" si="4"/>
        <v>Other</v>
      </c>
    </row>
    <row r="20" spans="2:30" ht="12" x14ac:dyDescent="0.3">
      <c r="B20" s="8" t="s">
        <v>14</v>
      </c>
      <c r="C20" s="7"/>
      <c r="I20" s="6">
        <f t="shared" ref="I20:T20" si="6">SUM(I12:I19)</f>
        <v>8040</v>
      </c>
      <c r="J20" s="6">
        <f t="shared" si="6"/>
        <v>8542.4</v>
      </c>
      <c r="K20" s="6">
        <f t="shared" si="6"/>
        <v>9125.17</v>
      </c>
      <c r="L20" s="6">
        <f t="shared" si="6"/>
        <v>9674.1240000000016</v>
      </c>
      <c r="M20" s="6">
        <f t="shared" si="6"/>
        <v>10296.2745645</v>
      </c>
      <c r="N20" s="6">
        <f t="shared" si="6"/>
        <v>10659.402236565003</v>
      </c>
      <c r="O20" s="6">
        <f t="shared" si="6"/>
        <v>11295.491914550963</v>
      </c>
      <c r="P20" s="6">
        <f>SUM(P12:P19)</f>
        <v>11834.059293808721</v>
      </c>
      <c r="Q20" s="6">
        <f t="shared" si="6"/>
        <v>12390.578919041847</v>
      </c>
      <c r="R20" s="6">
        <f t="shared" si="6"/>
        <v>12947.098544274832</v>
      </c>
      <c r="S20" s="6">
        <f t="shared" si="6"/>
        <v>13485.665923532753</v>
      </c>
      <c r="T20" s="6">
        <f t="shared" si="6"/>
        <v>14042.185548765654</v>
      </c>
      <c r="U20" s="6">
        <f t="shared" ref="U20:Z20" si="7">SUM(U12:U19)</f>
        <v>14580.752928023478</v>
      </c>
      <c r="V20" s="6">
        <f t="shared" si="7"/>
        <v>15137.27255325652</v>
      </c>
      <c r="W20" s="6">
        <f t="shared" si="7"/>
        <v>15693.792178489657</v>
      </c>
      <c r="X20" s="6">
        <f t="shared" si="7"/>
        <v>16196.455065796832</v>
      </c>
      <c r="Y20" s="6">
        <f t="shared" si="7"/>
        <v>16752.974691029969</v>
      </c>
      <c r="Z20" s="6">
        <f t="shared" si="7"/>
        <v>17291.542070287771</v>
      </c>
      <c r="AB20" s="5">
        <f>SUM(I20:T20)</f>
        <v>132332.45094503977</v>
      </c>
      <c r="AC20" s="28">
        <f t="shared" si="5"/>
        <v>15693.792178489657</v>
      </c>
      <c r="AD20" s="28"/>
    </row>
    <row r="21" spans="2:30" ht="13.8" customHeight="1" x14ac:dyDescent="0.3">
      <c r="B21" s="7"/>
      <c r="C21" s="7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B21" s="5"/>
      <c r="AC21" s="28"/>
      <c r="AD21" s="28"/>
    </row>
    <row r="22" spans="2:30" ht="14.1" customHeight="1" x14ac:dyDescent="0.3">
      <c r="B22" s="8" t="s">
        <v>13</v>
      </c>
      <c r="C22" s="7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B22" s="5"/>
      <c r="AC22" s="28"/>
      <c r="AD22" s="28"/>
    </row>
    <row r="23" spans="2:30" ht="14.1" customHeight="1" x14ac:dyDescent="0.3">
      <c r="B23" s="7"/>
      <c r="C23" s="53" t="s">
        <v>12</v>
      </c>
      <c r="D23" s="53"/>
      <c r="E23" s="53"/>
      <c r="F23" s="53"/>
      <c r="G23" s="53"/>
      <c r="I23" s="42">
        <v>-550</v>
      </c>
      <c r="J23" s="42">
        <v>-539</v>
      </c>
      <c r="K23" s="42">
        <v>-770.77</v>
      </c>
      <c r="L23" s="42">
        <v>-739.93920000000003</v>
      </c>
      <c r="M23" s="42">
        <v>-525.35683199999994</v>
      </c>
      <c r="N23" s="42">
        <v>-446.55330720000001</v>
      </c>
      <c r="O23" s="29">
        <f>FORECAST(O$8,$I23:N23,$I$8:N$8)</f>
        <v>-536.57500875538972</v>
      </c>
      <c r="P23" s="29">
        <f>FORECAST(P$8,$I23:O23,$I$8:O$8)</f>
        <v>-519.98932806460289</v>
      </c>
      <c r="Q23" s="29">
        <f>FORECAST(Q$8,$I23:P23,$I$8:P$8)</f>
        <v>-502.85079135078922</v>
      </c>
      <c r="R23" s="29">
        <f>FORECAST(R$8,$I23:Q23,$I$8:Q$8)</f>
        <v>-485.7122546369792</v>
      </c>
      <c r="S23" s="29">
        <f>FORECAST(S$8,$I23:R23,$I$8:R$8)</f>
        <v>-469.126573946196</v>
      </c>
      <c r="T23" s="29">
        <f>FORECAST(T$8,$I23:S23,$I$8:S$8)</f>
        <v>-451.98803723238234</v>
      </c>
      <c r="U23" s="29">
        <f>FORECAST(U$8,$I23:T23,$I$8:T$8)</f>
        <v>-435.40235654159915</v>
      </c>
      <c r="V23" s="29">
        <f>FORECAST(V$8,$I23:U23,$I$8:U$8)</f>
        <v>-418.26381982778912</v>
      </c>
      <c r="W23" s="29">
        <f>FORECAST(W$8,$I23:V23,$I$8:V$8)</f>
        <v>-401.12528311397546</v>
      </c>
      <c r="X23" s="29">
        <f>FORECAST(X$8,$I23:W23,$I$8:W$8)</f>
        <v>-385.64531446924593</v>
      </c>
      <c r="Y23" s="29">
        <f>FORECAST(Y$8,$I23:X23,$I$8:X$8)</f>
        <v>-368.50677775543227</v>
      </c>
      <c r="Z23" s="29">
        <f>FORECAST(Z$8,$I23:Y23,$I$8:Y$8)</f>
        <v>-351.92109706464544</v>
      </c>
      <c r="AB23" s="12">
        <f t="shared" ref="AB23:AB30" si="8">SUM(O23:Z23)</f>
        <v>-5327.1066427590267</v>
      </c>
      <c r="AC23" s="28">
        <f t="shared" si="5"/>
        <v>-401.12528311397546</v>
      </c>
      <c r="AD23" s="28" t="str">
        <f t="shared" si="4"/>
        <v>Purchase of Property and Equipment</v>
      </c>
    </row>
    <row r="24" spans="2:30" ht="14.1" customHeight="1" x14ac:dyDescent="0.3">
      <c r="B24" s="7"/>
      <c r="C24" s="53" t="s">
        <v>11</v>
      </c>
      <c r="D24" s="53"/>
      <c r="E24" s="53"/>
      <c r="F24" s="53"/>
      <c r="G24" s="53"/>
      <c r="I24" s="42">
        <v>-350</v>
      </c>
      <c r="J24" s="42">
        <v>-406</v>
      </c>
      <c r="K24" s="42">
        <v>-576.52</v>
      </c>
      <c r="L24" s="42">
        <v>-628.40679999999998</v>
      </c>
      <c r="M24" s="42">
        <v>-534.14578000000006</v>
      </c>
      <c r="N24" s="42">
        <v>-405.95079280000004</v>
      </c>
      <c r="O24" s="29">
        <f>FORECAST(O$8,$I24:N24,$I$8:N$8)</f>
        <v>-556.03002582563204</v>
      </c>
      <c r="P24" s="29">
        <f>FORECAST(P$8,$I24:O24,$I$8:O$8)</f>
        <v>-576.52406580147726</v>
      </c>
      <c r="Q24" s="29">
        <f>FORECAST(Q$8,$I24:P24,$I$8:P$8)</f>
        <v>-597.70124044318436</v>
      </c>
      <c r="R24" s="29">
        <f>FORECAST(R$8,$I24:Q24,$I$8:Q$8)</f>
        <v>-618.87841508489146</v>
      </c>
      <c r="S24" s="29">
        <f>FORECAST(S$8,$I24:R24,$I$8:R$8)</f>
        <v>-639.37245506074032</v>
      </c>
      <c r="T24" s="29">
        <f>FORECAST(T$8,$I24:S24,$I$8:S$8)</f>
        <v>-660.54962970244742</v>
      </c>
      <c r="U24" s="29">
        <f>FORECAST(U$8,$I24:T24,$I$8:T$8)</f>
        <v>-681.04366967829264</v>
      </c>
      <c r="V24" s="29">
        <f>FORECAST(V$8,$I24:U24,$I$8:U$8)</f>
        <v>-702.22084431999974</v>
      </c>
      <c r="W24" s="29">
        <f>FORECAST(W$8,$I24:V24,$I$8:V$8)</f>
        <v>-723.39801896170684</v>
      </c>
      <c r="X24" s="29">
        <f>FORECAST(X$8,$I24:W24,$I$8:W$8)</f>
        <v>-742.52578960582832</v>
      </c>
      <c r="Y24" s="29">
        <f>FORECAST(Y$8,$I24:X24,$I$8:X$8)</f>
        <v>-763.70296424753906</v>
      </c>
      <c r="Z24" s="29">
        <f>FORECAST(Z$8,$I24:Y24,$I$8:Y$8)</f>
        <v>-784.19700422338065</v>
      </c>
      <c r="AB24" s="12">
        <f t="shared" si="8"/>
        <v>-8046.1441229551201</v>
      </c>
      <c r="AC24" s="28">
        <f t="shared" si="5"/>
        <v>-723.39801896170684</v>
      </c>
      <c r="AD24" s="28" t="str">
        <f t="shared" si="4"/>
        <v>Making Loans to Other Entities</v>
      </c>
    </row>
    <row r="25" spans="2:30" ht="14.1" customHeight="1" x14ac:dyDescent="0.3">
      <c r="B25" s="7"/>
      <c r="C25" s="53" t="s">
        <v>10</v>
      </c>
      <c r="D25" s="53"/>
      <c r="E25" s="53"/>
      <c r="F25" s="53"/>
      <c r="G25" s="53"/>
      <c r="I25" s="42">
        <v>-70</v>
      </c>
      <c r="J25" s="42">
        <v>-81.900000000000006</v>
      </c>
      <c r="K25" s="42">
        <v>-77.805000000000007</v>
      </c>
      <c r="L25" s="42">
        <v>-111.26115000000001</v>
      </c>
      <c r="M25" s="42">
        <v>-151.31516400000001</v>
      </c>
      <c r="N25" s="42">
        <v>-177.03874188</v>
      </c>
      <c r="O25" s="29">
        <f>FORECAST(O$8,$I25:N25,$I$8:N$8)</f>
        <v>-189.70006507997459</v>
      </c>
      <c r="P25" s="29">
        <f>FORECAST(P$8,$I25:O25,$I$8:O$8)</f>
        <v>-211.78234143475129</v>
      </c>
      <c r="Q25" s="29">
        <f>FORECAST(Q$8,$I25:P25,$I$8:P$8)</f>
        <v>-234.60069366802782</v>
      </c>
      <c r="R25" s="29">
        <f>FORECAST(R$8,$I25:Q25,$I$8:Q$8)</f>
        <v>-257.41904590129707</v>
      </c>
      <c r="S25" s="29">
        <f>FORECAST(S$8,$I25:R25,$I$8:R$8)</f>
        <v>-279.50132225608104</v>
      </c>
      <c r="T25" s="29">
        <f>FORECAST(T$8,$I25:S25,$I$8:S$8)</f>
        <v>-302.31967448935757</v>
      </c>
      <c r="U25" s="29">
        <f>FORECAST(U$8,$I25:T25,$I$8:T$8)</f>
        <v>-324.40195084413426</v>
      </c>
      <c r="V25" s="29">
        <f>FORECAST(V$8,$I25:U25,$I$8:U$8)</f>
        <v>-347.22030307740351</v>
      </c>
      <c r="W25" s="29">
        <f>FORECAST(W$8,$I25:V25,$I$8:V$8)</f>
        <v>-370.03865531068004</v>
      </c>
      <c r="X25" s="29">
        <f>FORECAST(X$8,$I25:W25,$I$8:W$8)</f>
        <v>-390.6487799084789</v>
      </c>
      <c r="Y25" s="29">
        <f>FORECAST(Y$8,$I25:X25,$I$8:X$8)</f>
        <v>-413.46713214174815</v>
      </c>
      <c r="Z25" s="29">
        <f>FORECAST(Z$8,$I25:Y25,$I$8:Y$8)</f>
        <v>-435.54940849652485</v>
      </c>
      <c r="AB25" s="12">
        <f t="shared" si="8"/>
        <v>-3756.6493726084591</v>
      </c>
      <c r="AC25" s="28">
        <f t="shared" si="5"/>
        <v>-370.03865531068004</v>
      </c>
      <c r="AD25" s="28" t="str">
        <f t="shared" si="4"/>
        <v>Purchase of Investment Securities</v>
      </c>
    </row>
    <row r="26" spans="2:30" ht="14.1" customHeight="1" x14ac:dyDescent="0.3">
      <c r="B26" s="7"/>
      <c r="C26" s="53" t="s">
        <v>9</v>
      </c>
      <c r="D26" s="53"/>
      <c r="E26" s="53"/>
      <c r="F26" s="53"/>
      <c r="G26" s="53"/>
      <c r="I26" s="42">
        <v>-500</v>
      </c>
      <c r="J26" s="42">
        <v>-600</v>
      </c>
      <c r="K26" s="42">
        <v>-576</v>
      </c>
      <c r="L26" s="42">
        <v>-852.48</v>
      </c>
      <c r="M26" s="42">
        <v>-843.95519999999999</v>
      </c>
      <c r="N26" s="42">
        <v>-1206.8559359999999</v>
      </c>
      <c r="O26" s="29">
        <f>FORECAST(O$8,$I26:N26,$I$8:N$8)</f>
        <v>-1219.7447964743478</v>
      </c>
      <c r="P26" s="29">
        <f>FORECAST(P$8,$I26:O26,$I$8:O$8)</f>
        <v>-1348.7484531233204</v>
      </c>
      <c r="Q26" s="29">
        <f>FORECAST(Q$8,$I26:P26,$I$8:P$8)</f>
        <v>-1482.0522316605493</v>
      </c>
      <c r="R26" s="29">
        <f>FORECAST(R$8,$I26:Q26,$I$8:Q$8)</f>
        <v>-1615.3560101978073</v>
      </c>
      <c r="S26" s="29">
        <f>FORECAST(S$8,$I26:R26,$I$8:R$8)</f>
        <v>-1744.3596668467799</v>
      </c>
      <c r="T26" s="29">
        <f>FORECAST(T$8,$I26:S26,$I$8:S$8)</f>
        <v>-1877.6634453840088</v>
      </c>
      <c r="U26" s="29">
        <f>FORECAST(U$8,$I26:T26,$I$8:T$8)</f>
        <v>-2006.6671020329522</v>
      </c>
      <c r="V26" s="29">
        <f>FORECAST(V$8,$I26:U26,$I$8:U$8)</f>
        <v>-2139.9708805702103</v>
      </c>
      <c r="W26" s="29">
        <f>FORECAST(W$8,$I26:V26,$I$8:V$8)</f>
        <v>-2273.2746591074683</v>
      </c>
      <c r="X26" s="29">
        <f>FORECAST(X$8,$I26:W26,$I$8:W$8)</f>
        <v>-2393.6780719798116</v>
      </c>
      <c r="Y26" s="29">
        <f>FORECAST(Y$8,$I26:X26,$I$8:X$8)</f>
        <v>-2526.9818505170988</v>
      </c>
      <c r="Z26" s="29">
        <f>FORECAST(Z$8,$I26:Y26,$I$8:Y$8)</f>
        <v>-2655.9855071660422</v>
      </c>
      <c r="AB26" s="12">
        <f t="shared" si="8"/>
        <v>-23284.482675060397</v>
      </c>
      <c r="AC26" s="28">
        <f t="shared" si="5"/>
        <v>-2273.2746591074683</v>
      </c>
      <c r="AD26" s="28" t="str">
        <f t="shared" si="4"/>
        <v>Inventory Purchases</v>
      </c>
    </row>
    <row r="27" spans="2:30" ht="14.1" customHeight="1" x14ac:dyDescent="0.3">
      <c r="B27" s="7"/>
      <c r="C27" s="53" t="s">
        <v>8</v>
      </c>
      <c r="D27" s="53"/>
      <c r="E27" s="53"/>
      <c r="F27" s="53"/>
      <c r="G27" s="53"/>
      <c r="I27" s="42">
        <v>-350</v>
      </c>
      <c r="J27" s="42">
        <v>-406</v>
      </c>
      <c r="K27" s="42">
        <v>-576.52</v>
      </c>
      <c r="L27" s="42">
        <v>-628.40679999999998</v>
      </c>
      <c r="M27" s="42">
        <v>-534.14578000000006</v>
      </c>
      <c r="N27" s="42">
        <v>-405.95079280000004</v>
      </c>
      <c r="O27" s="29">
        <f>FORECAST(O$8,$I27:N27,$I$8:N$8)</f>
        <v>-556.03002582563204</v>
      </c>
      <c r="P27" s="29">
        <f>FORECAST(P$8,$I27:O27,$I$8:O$8)</f>
        <v>-576.52406580147726</v>
      </c>
      <c r="Q27" s="29">
        <f>FORECAST(Q$8,$I27:P27,$I$8:P$8)</f>
        <v>-597.70124044318436</v>
      </c>
      <c r="R27" s="29">
        <f>FORECAST(R$8,$I27:Q27,$I$8:Q$8)</f>
        <v>-618.87841508489146</v>
      </c>
      <c r="S27" s="29">
        <f>FORECAST(S$8,$I27:R27,$I$8:R$8)</f>
        <v>-639.37245506074032</v>
      </c>
      <c r="T27" s="29">
        <f>FORECAST(T$8,$I27:S27,$I$8:S$8)</f>
        <v>-660.54962970244742</v>
      </c>
      <c r="U27" s="29">
        <f>FORECAST(U$8,$I27:T27,$I$8:T$8)</f>
        <v>-681.04366967829264</v>
      </c>
      <c r="V27" s="29">
        <f>FORECAST(V$8,$I27:U27,$I$8:U$8)</f>
        <v>-702.22084431999974</v>
      </c>
      <c r="W27" s="29">
        <f>FORECAST(W$8,$I27:V27,$I$8:V$8)</f>
        <v>-723.39801896170684</v>
      </c>
      <c r="X27" s="29">
        <f>FORECAST(X$8,$I27:W27,$I$8:W$8)</f>
        <v>-742.52578960582832</v>
      </c>
      <c r="Y27" s="29">
        <f>FORECAST(Y$8,$I27:X27,$I$8:X$8)</f>
        <v>-763.70296424753906</v>
      </c>
      <c r="Z27" s="29">
        <f>FORECAST(Z$8,$I27:Y27,$I$8:Y$8)</f>
        <v>-784.19700422338065</v>
      </c>
      <c r="AB27" s="12">
        <f t="shared" si="8"/>
        <v>-8046.1441229551201</v>
      </c>
      <c r="AC27" s="28">
        <f t="shared" si="5"/>
        <v>-723.39801896170684</v>
      </c>
      <c r="AD27" s="28" t="str">
        <f t="shared" si="4"/>
        <v>General Operating and Administrative Expenses</v>
      </c>
    </row>
    <row r="28" spans="2:30" ht="14.1" customHeight="1" x14ac:dyDescent="0.3">
      <c r="B28" s="7"/>
      <c r="C28" s="53" t="s">
        <v>7</v>
      </c>
      <c r="D28" s="53"/>
      <c r="E28" s="53"/>
      <c r="F28" s="53"/>
      <c r="G28" s="53"/>
      <c r="I28" s="42">
        <v>-70</v>
      </c>
      <c r="J28" s="42">
        <v>-81.900000000000006</v>
      </c>
      <c r="K28" s="42">
        <v>-77.805000000000007</v>
      </c>
      <c r="L28" s="42">
        <v>-111.26115000000001</v>
      </c>
      <c r="M28" s="42">
        <v>-151.31516400000001</v>
      </c>
      <c r="N28" s="42">
        <v>-177.03874188</v>
      </c>
      <c r="O28" s="29">
        <f>FORECAST(O$8,$I28:N28,$I$8:N$8)</f>
        <v>-189.70006507997459</v>
      </c>
      <c r="P28" s="29">
        <f>FORECAST(P$8,$I28:O28,$I$8:O$8)</f>
        <v>-211.78234143475129</v>
      </c>
      <c r="Q28" s="29">
        <f>FORECAST(Q$8,$I28:P28,$I$8:P$8)</f>
        <v>-234.60069366802782</v>
      </c>
      <c r="R28" s="29">
        <f>FORECAST(R$8,$I28:Q28,$I$8:Q$8)</f>
        <v>-257.41904590129707</v>
      </c>
      <c r="S28" s="29">
        <f>FORECAST(S$8,$I28:R28,$I$8:R$8)</f>
        <v>-279.50132225608104</v>
      </c>
      <c r="T28" s="29">
        <f>FORECAST(T$8,$I28:S28,$I$8:S$8)</f>
        <v>-302.31967448935757</v>
      </c>
      <c r="U28" s="29">
        <f>FORECAST(U$8,$I28:T28,$I$8:T$8)</f>
        <v>-324.40195084413426</v>
      </c>
      <c r="V28" s="29">
        <f>FORECAST(V$8,$I28:U28,$I$8:U$8)</f>
        <v>-347.22030307740351</v>
      </c>
      <c r="W28" s="29">
        <f>FORECAST(W$8,$I28:V28,$I$8:V$8)</f>
        <v>-370.03865531068004</v>
      </c>
      <c r="X28" s="29">
        <f>FORECAST(X$8,$I28:W28,$I$8:W$8)</f>
        <v>-390.6487799084789</v>
      </c>
      <c r="Y28" s="29">
        <f>FORECAST(Y$8,$I28:X28,$I$8:X$8)</f>
        <v>-413.46713214174815</v>
      </c>
      <c r="Z28" s="29">
        <f>FORECAST(Z$8,$I28:Y28,$I$8:Y$8)</f>
        <v>-435.54940849652485</v>
      </c>
      <c r="AB28" s="12">
        <f t="shared" si="8"/>
        <v>-3756.6493726084591</v>
      </c>
      <c r="AC28" s="28">
        <f t="shared" si="5"/>
        <v>-370.03865531068004</v>
      </c>
      <c r="AD28" s="28" t="str">
        <f t="shared" si="4"/>
        <v>Wage Expenses</v>
      </c>
    </row>
    <row r="29" spans="2:30" ht="14.1" customHeight="1" x14ac:dyDescent="0.3">
      <c r="B29" s="7"/>
      <c r="C29" s="53" t="s">
        <v>6</v>
      </c>
      <c r="D29" s="53"/>
      <c r="E29" s="53"/>
      <c r="F29" s="53"/>
      <c r="G29" s="53"/>
      <c r="I29" s="42">
        <v>-500</v>
      </c>
      <c r="J29" s="42">
        <v>-600</v>
      </c>
      <c r="K29" s="42">
        <v>-576</v>
      </c>
      <c r="L29" s="42">
        <v>-852.48</v>
      </c>
      <c r="M29" s="42">
        <v>-843.95519999999999</v>
      </c>
      <c r="N29" s="42">
        <v>-1206.8559359999999</v>
      </c>
      <c r="O29" s="29">
        <f>FORECAST(O$8,$I29:N29,$I$8:N$8)</f>
        <v>-1219.7447964743478</v>
      </c>
      <c r="P29" s="29">
        <f>FORECAST(P$8,$I29:O29,$I$8:O$8)</f>
        <v>-1348.7484531233204</v>
      </c>
      <c r="Q29" s="29">
        <f>FORECAST(Q$8,$I29:P29,$I$8:P$8)</f>
        <v>-1482.0522316605493</v>
      </c>
      <c r="R29" s="29">
        <f>FORECAST(R$8,$I29:Q29,$I$8:Q$8)</f>
        <v>-1615.3560101978073</v>
      </c>
      <c r="S29" s="29">
        <f>FORECAST(S$8,$I29:R29,$I$8:R$8)</f>
        <v>-1744.3596668467799</v>
      </c>
      <c r="T29" s="29">
        <f>FORECAST(T$8,$I29:S29,$I$8:S$8)</f>
        <v>-1877.6634453840088</v>
      </c>
      <c r="U29" s="29">
        <f>FORECAST(U$8,$I29:T29,$I$8:T$8)</f>
        <v>-2006.6671020329522</v>
      </c>
      <c r="V29" s="29">
        <f>FORECAST(V$8,$I29:U29,$I$8:U$8)</f>
        <v>-2139.9708805702103</v>
      </c>
      <c r="W29" s="29">
        <f>FORECAST(W$8,$I29:V29,$I$8:V$8)</f>
        <v>-2273.2746591074683</v>
      </c>
      <c r="X29" s="29">
        <f>FORECAST(X$8,$I29:W29,$I$8:W$8)</f>
        <v>-2393.6780719798116</v>
      </c>
      <c r="Y29" s="29">
        <f>FORECAST(Y$8,$I29:X29,$I$8:X$8)</f>
        <v>-2526.9818505170988</v>
      </c>
      <c r="Z29" s="29">
        <f>FORECAST(Z$8,$I29:Y29,$I$8:Y$8)</f>
        <v>-2655.9855071660422</v>
      </c>
      <c r="AB29" s="12">
        <f t="shared" si="8"/>
        <v>-23284.482675060397</v>
      </c>
      <c r="AC29" s="28">
        <f t="shared" si="5"/>
        <v>-2273.2746591074683</v>
      </c>
      <c r="AD29" s="28" t="str">
        <f t="shared" si="4"/>
        <v>Interest</v>
      </c>
    </row>
    <row r="30" spans="2:30" ht="14.1" customHeight="1" x14ac:dyDescent="0.3">
      <c r="B30" s="7"/>
      <c r="C30" s="53" t="s">
        <v>5</v>
      </c>
      <c r="D30" s="53"/>
      <c r="E30" s="53"/>
      <c r="F30" s="53"/>
      <c r="G30" s="53"/>
      <c r="I30" s="43">
        <v>-400</v>
      </c>
      <c r="J30" s="43">
        <v>-512</v>
      </c>
      <c r="K30" s="43">
        <v>-701.44</v>
      </c>
      <c r="L30" s="43">
        <v>-799.64160000000004</v>
      </c>
      <c r="M30" s="43">
        <v>-943.57708800000012</v>
      </c>
      <c r="N30" s="43">
        <v>-820.91206656000008</v>
      </c>
      <c r="O30" s="30">
        <f>FORECAST(O$8,$I30:N30,$I$8:N$8)</f>
        <v>-1049.1522880030097</v>
      </c>
      <c r="P30" s="30">
        <f>FORECAST(P$8,$I30:O30,$I$8:O$8)</f>
        <v>-1148.8701674437034</v>
      </c>
      <c r="Q30" s="30">
        <f>FORECAST(Q$8,$I30:P30,$I$8:P$8)</f>
        <v>-1251.9119761991315</v>
      </c>
      <c r="R30" s="30">
        <f>FORECAST(R$8,$I30:Q30,$I$8:Q$8)</f>
        <v>-1354.9537849545595</v>
      </c>
      <c r="S30" s="30">
        <f>FORECAST(S$8,$I30:R30,$I$8:R$8)</f>
        <v>-1454.6716643952823</v>
      </c>
      <c r="T30" s="30">
        <f>FORECAST(T$8,$I30:S30,$I$8:S$8)</f>
        <v>-1557.7134731506812</v>
      </c>
      <c r="U30" s="30">
        <f>FORECAST(U$8,$I30:T30,$I$8:T$8)</f>
        <v>-1657.4313525913749</v>
      </c>
      <c r="V30" s="30">
        <f>FORECAST(V$8,$I30:U30,$I$8:U$8)</f>
        <v>-1760.473161346803</v>
      </c>
      <c r="W30" s="30">
        <f>FORECAST(W$8,$I30:V30,$I$8:V$8)</f>
        <v>-1863.514970102231</v>
      </c>
      <c r="X30" s="30">
        <f>FORECAST(X$8,$I30:W30,$I$8:W$8)</f>
        <v>-1956.5849909135723</v>
      </c>
      <c r="Y30" s="30">
        <f>FORECAST(Y$8,$I30:X30,$I$8:X$8)</f>
        <v>-2059.6267996689712</v>
      </c>
      <c r="Z30" s="30">
        <f>FORECAST(Z$8,$I30:Y30,$I$8:Y$8)</f>
        <v>-2159.344679109694</v>
      </c>
      <c r="AB30" s="15">
        <f t="shared" si="8"/>
        <v>-19274.249307879014</v>
      </c>
      <c r="AC30" s="28">
        <f t="shared" si="5"/>
        <v>-1863.514970102231</v>
      </c>
      <c r="AD30" s="28" t="str">
        <f t="shared" si="4"/>
        <v>Income Taxes</v>
      </c>
    </row>
    <row r="31" spans="2:30" ht="14.1" customHeight="1" x14ac:dyDescent="0.3">
      <c r="B31" s="8" t="s">
        <v>4</v>
      </c>
      <c r="C31" s="7"/>
      <c r="I31" s="14">
        <f t="shared" ref="I31:T31" si="9">SUM(I23:I30)</f>
        <v>-2790</v>
      </c>
      <c r="J31" s="14">
        <f t="shared" si="9"/>
        <v>-3226.8</v>
      </c>
      <c r="K31" s="14">
        <f t="shared" si="9"/>
        <v>-3932.8599999999997</v>
      </c>
      <c r="L31" s="14">
        <f t="shared" si="9"/>
        <v>-4723.8766999999998</v>
      </c>
      <c r="M31" s="14">
        <f t="shared" si="9"/>
        <v>-4527.766208</v>
      </c>
      <c r="N31" s="14">
        <f t="shared" si="9"/>
        <v>-4847.1563151200007</v>
      </c>
      <c r="O31" s="14">
        <f t="shared" si="9"/>
        <v>-5516.6770715183084</v>
      </c>
      <c r="P31" s="14">
        <f t="shared" si="9"/>
        <v>-5942.9692162274041</v>
      </c>
      <c r="Q31" s="14">
        <f t="shared" si="9"/>
        <v>-6383.4710990934436</v>
      </c>
      <c r="R31" s="14">
        <f t="shared" si="9"/>
        <v>-6823.9729819595304</v>
      </c>
      <c r="S31" s="14">
        <f t="shared" si="9"/>
        <v>-7250.2651266686808</v>
      </c>
      <c r="T31" s="14">
        <f t="shared" si="9"/>
        <v>-7690.7670095346912</v>
      </c>
      <c r="U31" s="14">
        <f t="shared" ref="U31:Z31" si="10">SUM(U23:U30)</f>
        <v>-8117.0591542437323</v>
      </c>
      <c r="V31" s="14">
        <f t="shared" si="10"/>
        <v>-8557.5610371098192</v>
      </c>
      <c r="W31" s="14">
        <f t="shared" si="10"/>
        <v>-8998.0629199759169</v>
      </c>
      <c r="X31" s="14">
        <f t="shared" si="10"/>
        <v>-9395.9355883710559</v>
      </c>
      <c r="Y31" s="14">
        <f t="shared" si="10"/>
        <v>-9836.4374712371755</v>
      </c>
      <c r="Z31" s="14">
        <f t="shared" si="10"/>
        <v>-10262.729615946235</v>
      </c>
      <c r="AB31" s="5">
        <f>SUM(I31:T31)</f>
        <v>-63656.581728122059</v>
      </c>
      <c r="AC31" s="28">
        <f t="shared" si="5"/>
        <v>-8998.0629199759169</v>
      </c>
    </row>
    <row r="32" spans="2:30" ht="2.1" customHeight="1" x14ac:dyDescent="0.3">
      <c r="B32" s="7"/>
      <c r="C32" s="7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B32" s="5"/>
      <c r="AC32" s="28">
        <f t="shared" si="5"/>
        <v>0</v>
      </c>
    </row>
    <row r="33" spans="2:32" ht="14.1" customHeight="1" thickBot="1" x14ac:dyDescent="0.35">
      <c r="B33" s="8" t="s">
        <v>3</v>
      </c>
      <c r="C33" s="7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B33" s="5"/>
      <c r="AC33" s="28"/>
    </row>
    <row r="34" spans="2:32" ht="14.1" customHeight="1" thickBot="1" x14ac:dyDescent="0.35">
      <c r="B34" s="7"/>
      <c r="C34" s="11" t="s">
        <v>2</v>
      </c>
      <c r="I34" s="38">
        <v>10000</v>
      </c>
      <c r="J34" s="13">
        <f t="shared" ref="J34:T34" si="11">I36</f>
        <v>15250</v>
      </c>
      <c r="K34" s="13">
        <f>J36</f>
        <v>20565.599999999999</v>
      </c>
      <c r="L34" s="13">
        <f t="shared" si="11"/>
        <v>25757.91</v>
      </c>
      <c r="M34" s="13">
        <f t="shared" si="11"/>
        <v>30708.157300000003</v>
      </c>
      <c r="N34" s="13">
        <f t="shared" si="11"/>
        <v>36476.665656500001</v>
      </c>
      <c r="O34" s="13">
        <f t="shared" si="11"/>
        <v>42288.911577945008</v>
      </c>
      <c r="P34" s="13">
        <f t="shared" si="11"/>
        <v>48067.726420977662</v>
      </c>
      <c r="Q34" s="13">
        <f t="shared" si="11"/>
        <v>53958.816498558983</v>
      </c>
      <c r="R34" s="13">
        <f t="shared" si="11"/>
        <v>59965.924318507386</v>
      </c>
      <c r="S34" s="13">
        <f t="shared" si="11"/>
        <v>66089.049880822684</v>
      </c>
      <c r="T34" s="13">
        <f t="shared" si="11"/>
        <v>72324.450677686749</v>
      </c>
      <c r="U34" s="13">
        <f t="shared" ref="U34" si="12">T36</f>
        <v>78675.869216917708</v>
      </c>
      <c r="V34" s="13">
        <f t="shared" ref="V34" si="13">U36</f>
        <v>85139.56299069745</v>
      </c>
      <c r="W34" s="13">
        <f t="shared" ref="W34" si="14">V36</f>
        <v>91719.274506844144</v>
      </c>
      <c r="X34" s="13">
        <f t="shared" ref="X34" si="15">W36</f>
        <v>98415.003765357891</v>
      </c>
      <c r="Y34" s="13">
        <f t="shared" ref="Y34" si="16">X36</f>
        <v>105215.52324278367</v>
      </c>
      <c r="Z34" s="13">
        <f>Y36</f>
        <v>112132.06046257647</v>
      </c>
      <c r="AB34" s="12">
        <f>I34</f>
        <v>10000</v>
      </c>
      <c r="AC34" s="28">
        <f>IFERROR(_xlfn.XLOOKUP($AC$7,$O$8:$Z$8,O34:Z34),"")</f>
        <v>91719.274506844144</v>
      </c>
    </row>
    <row r="35" spans="2:32" ht="14.1" customHeight="1" thickBot="1" x14ac:dyDescent="0.35">
      <c r="B35" s="7"/>
      <c r="C35" s="11" t="s">
        <v>1</v>
      </c>
      <c r="I35" s="10">
        <f t="shared" ref="I35:T35" si="17">I20+I31</f>
        <v>5250</v>
      </c>
      <c r="J35" s="10">
        <f t="shared" si="17"/>
        <v>5315.5999999999995</v>
      </c>
      <c r="K35" s="10">
        <f>K20+K31</f>
        <v>5192.3100000000004</v>
      </c>
      <c r="L35" s="10">
        <f t="shared" si="17"/>
        <v>4950.2473000000018</v>
      </c>
      <c r="M35" s="10">
        <f t="shared" si="17"/>
        <v>5768.5083564999995</v>
      </c>
      <c r="N35" s="10">
        <f t="shared" si="17"/>
        <v>5812.2459214450028</v>
      </c>
      <c r="O35" s="10">
        <f>O20+O31</f>
        <v>5778.8148430326546</v>
      </c>
      <c r="P35" s="10">
        <f t="shared" si="17"/>
        <v>5891.090077581317</v>
      </c>
      <c r="Q35" s="10">
        <f t="shared" si="17"/>
        <v>6007.1078199484036</v>
      </c>
      <c r="R35" s="10">
        <f t="shared" si="17"/>
        <v>6123.1255623153011</v>
      </c>
      <c r="S35" s="10">
        <f t="shared" si="17"/>
        <v>6235.4007968640726</v>
      </c>
      <c r="T35" s="10">
        <f t="shared" si="17"/>
        <v>6351.4185392309628</v>
      </c>
      <c r="U35" s="10">
        <f t="shared" ref="U35:Y35" si="18">U20+U31</f>
        <v>6463.6937737797452</v>
      </c>
      <c r="V35" s="10">
        <f t="shared" si="18"/>
        <v>6579.7115161467009</v>
      </c>
      <c r="W35" s="10">
        <f t="shared" si="18"/>
        <v>6695.7292585137402</v>
      </c>
      <c r="X35" s="10">
        <f t="shared" si="18"/>
        <v>6800.5194774257761</v>
      </c>
      <c r="Y35" s="10">
        <f t="shared" si="18"/>
        <v>6916.5372197927936</v>
      </c>
      <c r="Z35" s="10">
        <f>Z20+Z31</f>
        <v>7028.8124543415361</v>
      </c>
      <c r="AB35" s="9">
        <f>SUM(I35:Z35)</f>
        <v>109160.87291691803</v>
      </c>
      <c r="AC35" s="28">
        <f>IFERROR(_xlfn.XLOOKUP($AC$7,$O$8:$Z$8,O35:Z35),"")</f>
        <v>6695.7292585137402</v>
      </c>
    </row>
    <row r="36" spans="2:32" ht="14.1" customHeight="1" thickTop="1" x14ac:dyDescent="0.3">
      <c r="B36" s="8" t="s">
        <v>0</v>
      </c>
      <c r="C36" s="7"/>
      <c r="I36" s="6">
        <f t="shared" ref="I36:T36" si="19">SUM(I34:I35)</f>
        <v>15250</v>
      </c>
      <c r="J36" s="6">
        <f t="shared" si="19"/>
        <v>20565.599999999999</v>
      </c>
      <c r="K36" s="6">
        <f>SUM(K34:K35)</f>
        <v>25757.91</v>
      </c>
      <c r="L36" s="6">
        <f t="shared" si="19"/>
        <v>30708.157300000003</v>
      </c>
      <c r="M36" s="6">
        <f t="shared" si="19"/>
        <v>36476.665656500001</v>
      </c>
      <c r="N36" s="6">
        <f t="shared" si="19"/>
        <v>42288.911577945008</v>
      </c>
      <c r="O36" s="6">
        <f>SUM(O34:O35)</f>
        <v>48067.726420977662</v>
      </c>
      <c r="P36" s="6">
        <f t="shared" si="19"/>
        <v>53958.816498558983</v>
      </c>
      <c r="Q36" s="6">
        <f t="shared" si="19"/>
        <v>59965.924318507386</v>
      </c>
      <c r="R36" s="6">
        <f t="shared" si="19"/>
        <v>66089.049880822684</v>
      </c>
      <c r="S36" s="6">
        <f t="shared" si="19"/>
        <v>72324.450677686749</v>
      </c>
      <c r="T36" s="6">
        <f t="shared" si="19"/>
        <v>78675.869216917708</v>
      </c>
      <c r="U36" s="6">
        <f t="shared" ref="U36:Y36" si="20">SUM(U34:U35)</f>
        <v>85139.56299069745</v>
      </c>
      <c r="V36" s="6">
        <f t="shared" si="20"/>
        <v>91719.274506844144</v>
      </c>
      <c r="W36" s="6">
        <f t="shared" si="20"/>
        <v>98415.003765357891</v>
      </c>
      <c r="X36" s="6">
        <f t="shared" si="20"/>
        <v>105215.52324278367</v>
      </c>
      <c r="Y36" s="6">
        <f t="shared" si="20"/>
        <v>112132.06046257647</v>
      </c>
      <c r="Z36" s="6">
        <f>SUM(Z34:Z35)</f>
        <v>119160.872916918</v>
      </c>
      <c r="AB36" s="5">
        <f>Z36</f>
        <v>119160.872916918</v>
      </c>
      <c r="AC36" s="28">
        <f t="shared" si="5"/>
        <v>98415.003765357891</v>
      </c>
    </row>
    <row r="38" spans="2:32" ht="10.5" customHeight="1" x14ac:dyDescent="0.3">
      <c r="Z38" s="31"/>
      <c r="AC38" s="17" t="s">
        <v>31</v>
      </c>
    </row>
    <row r="39" spans="2:32" ht="10.5" customHeight="1" x14ac:dyDescent="0.3">
      <c r="AC39" s="33">
        <f>AC7</f>
        <v>46053</v>
      </c>
      <c r="AD39" s="33">
        <f>EOMONTH(AC39,1)</f>
        <v>46081</v>
      </c>
      <c r="AE39" s="33">
        <f>EOMONTH(AD39,1)</f>
        <v>46112</v>
      </c>
      <c r="AF39" s="33">
        <f>EOMONTH(AE39,1)</f>
        <v>46142</v>
      </c>
    </row>
    <row r="40" spans="2:32" ht="10.5" customHeight="1" x14ac:dyDescent="0.3">
      <c r="AC40" s="28">
        <f>IFERROR(_xlfn.XLOOKUP(AC39,O8:Z8,O20:Z20),"")</f>
        <v>15693.792178489657</v>
      </c>
      <c r="AD40" s="28">
        <f>IFERROR(_xlfn.XLOOKUP(AD39,O8:Z8,O20:Z20),"")</f>
        <v>16196.455065796832</v>
      </c>
      <c r="AE40" s="28">
        <f>IFERROR(_xlfn.XLOOKUP(AE39,O8:Z8,O20:Z20),"")</f>
        <v>16752.974691029969</v>
      </c>
      <c r="AF40" s="28">
        <f>IFERROR(_xlfn.XLOOKUP(AF39,O8:Z8,O20:Z20),"")</f>
        <v>17291.542070287771</v>
      </c>
    </row>
    <row r="42" spans="2:32" ht="10.5" customHeight="1" x14ac:dyDescent="0.3">
      <c r="AC42" s="17" t="s">
        <v>32</v>
      </c>
    </row>
    <row r="43" spans="2:32" ht="10.5" customHeight="1" x14ac:dyDescent="0.3">
      <c r="AC43" s="33">
        <f>AC7</f>
        <v>46053</v>
      </c>
      <c r="AD43" s="33">
        <f>EOMONTH(AC43,1)</f>
        <v>46081</v>
      </c>
      <c r="AE43" s="33">
        <f>EOMONTH(AD43,1)</f>
        <v>46112</v>
      </c>
      <c r="AF43" s="33">
        <f>EOMONTH(AE43,1)</f>
        <v>46142</v>
      </c>
    </row>
    <row r="44" spans="2:32" ht="10.5" customHeight="1" x14ac:dyDescent="0.3">
      <c r="AC44" s="28">
        <f>-IFERROR(_xlfn.XLOOKUP(AC43,$O$8:$Z$8,O31:Z31),"")</f>
        <v>8998.0629199759169</v>
      </c>
      <c r="AD44" s="28">
        <f>-IFERROR(_xlfn.XLOOKUP(AD43,$O$8:$Z$8,$O$31:$Z$31),"")</f>
        <v>9395.9355883710559</v>
      </c>
      <c r="AE44" s="28">
        <f>-IFERROR(_xlfn.XLOOKUP(AE43,$O$8:$Z$8,$O$31:$Z$31),"")</f>
        <v>9836.4374712371755</v>
      </c>
      <c r="AF44" s="28">
        <f>-IFERROR(_xlfn.XLOOKUP(AF43,$O$8:$Z$8,$O$31:$Z$31),"")</f>
        <v>10262.729615946235</v>
      </c>
    </row>
  </sheetData>
  <mergeCells count="17">
    <mergeCell ref="AB7:AB9"/>
    <mergeCell ref="C24:G24"/>
    <mergeCell ref="C25:G25"/>
    <mergeCell ref="C26:G26"/>
    <mergeCell ref="C30:G30"/>
    <mergeCell ref="C28:G28"/>
    <mergeCell ref="C29:G29"/>
    <mergeCell ref="C12:G12"/>
    <mergeCell ref="C13:G13"/>
    <mergeCell ref="C14:G14"/>
    <mergeCell ref="C27:G27"/>
    <mergeCell ref="C15:G15"/>
    <mergeCell ref="C19:G19"/>
    <mergeCell ref="C23:G23"/>
    <mergeCell ref="C16:G16"/>
    <mergeCell ref="C17:G17"/>
    <mergeCell ref="C18:G18"/>
  </mergeCells>
  <pageMargins left="0" right="0" top="0.5" bottom="0.98425196850393704" header="0" footer="0.31496062992126"/>
  <pageSetup paperSize="9" scale="73" fitToWidth="5" orientation="landscape" r:id="rId1"/>
  <headerFooter>
    <oddFooter>&amp;L&amp;12     Built with finmodelslab.com template&amp;C&amp;12Cash Flow Statement&amp;R&amp;12&amp;D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Cashflow Dashboard</vt:lpstr>
      <vt:lpstr>12-Month Cash Flow Statement</vt:lpstr>
      <vt:lpstr>'12-Month Cash Flow Statement'!Print_Area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</dc:creator>
  <cp:lastModifiedBy>Chris Greco</cp:lastModifiedBy>
  <dcterms:created xsi:type="dcterms:W3CDTF">2024-05-17T11:59:58Z</dcterms:created>
  <dcterms:modified xsi:type="dcterms:W3CDTF">2025-02-11T23:49:29Z</dcterms:modified>
</cp:coreProperties>
</file>